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ŠMT\Výroční zpráva 2017-2018\Výroční zprávy 2020_2021\VZ_web\"/>
    </mc:Choice>
  </mc:AlternateContent>
  <bookViews>
    <workbookView xWindow="0" yWindow="0" windowWidth="28755" windowHeight="11970" activeTab="13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</sheets>
  <definedNames>
    <definedName name="_xlnm.Print_Area" localSheetId="9">'10'!$A$3:$N$17</definedName>
    <definedName name="_xlnm.Print_Area" localSheetId="10">'11'!$A$3:$L$14</definedName>
    <definedName name="_xlnm.Print_Area" localSheetId="11">'12'!$A$3:$L$17</definedName>
    <definedName name="_xlnm.Print_Area" localSheetId="12">'13'!$A$3:$J$14</definedName>
    <definedName name="_xlnm.Print_Area" localSheetId="13">'14'!$A$1:$J$37</definedName>
    <definedName name="_xlnm.Print_Area" localSheetId="14">'15'!$A$3:$J$18</definedName>
    <definedName name="_xlnm.Print_Area" localSheetId="15">'16'!$A$2:$J$50</definedName>
    <definedName name="_xlnm.Print_Area" localSheetId="6">'7'!$A$4:$O$15</definedName>
    <definedName name="_xlnm.Print_Area" localSheetId="7">'8'!$A$3:$O$17</definedName>
    <definedName name="_xlnm.Print_Area" localSheetId="8">'9'!$A$3:$N$14</definedName>
  </definedNames>
  <calcPr calcId="162913"/>
</workbook>
</file>

<file path=xl/calcChain.xml><?xml version="1.0" encoding="utf-8"?>
<calcChain xmlns="http://schemas.openxmlformats.org/spreadsheetml/2006/main">
  <c r="O13" i="7" l="1"/>
  <c r="O14" i="7"/>
  <c r="O12" i="7"/>
  <c r="O11" i="7"/>
  <c r="O10" i="7"/>
  <c r="O9" i="7"/>
  <c r="O16" i="8" l="1"/>
  <c r="O15" i="8"/>
  <c r="O14" i="8"/>
  <c r="O13" i="8"/>
  <c r="O12" i="8"/>
  <c r="O11" i="8"/>
  <c r="O10" i="8"/>
  <c r="O9" i="8"/>
  <c r="O8" i="8" l="1"/>
  <c r="N15" i="7" l="1"/>
  <c r="M15" i="1" l="1"/>
  <c r="H15" i="1" l="1"/>
  <c r="I50" i="16" l="1"/>
  <c r="H50" i="16"/>
  <c r="I10" i="13" l="1"/>
  <c r="H10" i="13"/>
  <c r="I37" i="14"/>
  <c r="H37" i="14"/>
  <c r="F13" i="13" l="1"/>
  <c r="F12" i="13"/>
  <c r="F11" i="13"/>
  <c r="F10" i="13"/>
  <c r="F9" i="13"/>
  <c r="F8" i="13"/>
  <c r="E8" i="13"/>
  <c r="D8" i="9"/>
  <c r="D9" i="9"/>
  <c r="D10" i="9"/>
  <c r="D11" i="9"/>
  <c r="D13" i="9"/>
  <c r="B11" i="6"/>
  <c r="B10" i="6"/>
  <c r="B9" i="6"/>
  <c r="B8" i="6"/>
  <c r="B7" i="6"/>
  <c r="G7" i="1"/>
  <c r="G8" i="1"/>
  <c r="G9" i="1"/>
  <c r="G10" i="1"/>
  <c r="G11" i="1"/>
  <c r="G12" i="1"/>
  <c r="G13" i="1"/>
  <c r="G14" i="1"/>
  <c r="I17" i="15" l="1"/>
  <c r="I16" i="15"/>
  <c r="I15" i="15"/>
  <c r="I14" i="15"/>
  <c r="I13" i="15"/>
  <c r="I12" i="15"/>
  <c r="I11" i="15"/>
  <c r="I10" i="15"/>
  <c r="I9" i="15"/>
  <c r="I8" i="15"/>
  <c r="H16" i="15"/>
  <c r="H8" i="15"/>
  <c r="H17" i="15"/>
  <c r="H15" i="15"/>
  <c r="H14" i="15"/>
  <c r="H13" i="15"/>
  <c r="H12" i="15"/>
  <c r="H11" i="15"/>
  <c r="H10" i="15"/>
  <c r="H9" i="15"/>
  <c r="F15" i="15"/>
  <c r="F17" i="15"/>
  <c r="F16" i="15"/>
  <c r="F14" i="15"/>
  <c r="F13" i="15"/>
  <c r="F12" i="15"/>
  <c r="F11" i="15"/>
  <c r="F10" i="15"/>
  <c r="F9" i="15"/>
  <c r="F8" i="15"/>
  <c r="E10" i="15"/>
  <c r="E17" i="15"/>
  <c r="E16" i="15"/>
  <c r="E15" i="15"/>
  <c r="E14" i="15"/>
  <c r="E13" i="15"/>
  <c r="E12" i="15"/>
  <c r="E11" i="15"/>
  <c r="E9" i="15"/>
  <c r="E8" i="15"/>
  <c r="H17" i="16" l="1"/>
  <c r="I17" i="16"/>
  <c r="G16" i="16"/>
  <c r="G15" i="16"/>
  <c r="G14" i="16"/>
  <c r="E13" i="13"/>
  <c r="E12" i="13"/>
  <c r="E11" i="13"/>
  <c r="E10" i="13"/>
  <c r="E9" i="13"/>
  <c r="C11" i="6" l="1"/>
  <c r="C10" i="6"/>
  <c r="C9" i="6"/>
  <c r="C8" i="6"/>
  <c r="C7" i="6"/>
  <c r="G13" i="3" l="1"/>
  <c r="G12" i="3"/>
  <c r="G11" i="3"/>
  <c r="G10" i="3"/>
  <c r="G9" i="3"/>
  <c r="G8" i="3"/>
  <c r="G7" i="3"/>
  <c r="N7" i="3" l="1"/>
  <c r="L15" i="1" l="1"/>
  <c r="K15" i="1"/>
  <c r="J15" i="1"/>
  <c r="I15" i="1"/>
  <c r="F15" i="1"/>
  <c r="E15" i="1"/>
  <c r="D15" i="1"/>
  <c r="C15" i="1"/>
  <c r="B15" i="1"/>
  <c r="M14" i="1"/>
  <c r="M13" i="1"/>
  <c r="M12" i="1"/>
  <c r="M11" i="1"/>
  <c r="K11" i="2" s="1"/>
  <c r="M10" i="1"/>
  <c r="M9" i="1"/>
  <c r="M8" i="1"/>
  <c r="M7" i="1"/>
  <c r="G15" i="1" l="1"/>
  <c r="I13" i="8" l="1"/>
  <c r="I12" i="8"/>
  <c r="C16" i="8"/>
  <c r="C15" i="8"/>
  <c r="C14" i="8"/>
  <c r="C13" i="8"/>
  <c r="C12" i="8"/>
  <c r="C11" i="8"/>
  <c r="C10" i="8"/>
  <c r="C9" i="8"/>
  <c r="C8" i="8"/>
  <c r="C14" i="7"/>
  <c r="C13" i="7"/>
  <c r="C12" i="7"/>
  <c r="C11" i="7"/>
  <c r="C10" i="7"/>
  <c r="C9" i="7"/>
  <c r="J10" i="16" l="1"/>
  <c r="L14" i="3" l="1"/>
  <c r="M14" i="3"/>
  <c r="K14" i="3"/>
  <c r="J14" i="3"/>
  <c r="I14" i="3" l="1"/>
  <c r="J11" i="2" l="1"/>
  <c r="I11" i="2"/>
  <c r="H11" i="2"/>
  <c r="G11" i="2"/>
  <c r="J10" i="2"/>
  <c r="I10" i="2"/>
  <c r="H10" i="2"/>
  <c r="G10" i="2"/>
  <c r="J9" i="2"/>
  <c r="I9" i="2"/>
  <c r="H9" i="2"/>
  <c r="G9" i="2"/>
  <c r="J8" i="2"/>
  <c r="I8" i="2"/>
  <c r="H8" i="2"/>
  <c r="G8" i="2"/>
  <c r="J7" i="2"/>
  <c r="I7" i="2"/>
  <c r="H7" i="2"/>
  <c r="G7" i="2"/>
  <c r="E11" i="2" l="1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F7" i="2"/>
  <c r="E7" i="2"/>
  <c r="D7" i="2"/>
  <c r="C7" i="2"/>
  <c r="B7" i="2"/>
  <c r="K8" i="2"/>
  <c r="K10" i="2"/>
  <c r="K7" i="2"/>
  <c r="K9" i="2" l="1"/>
  <c r="F11" i="2"/>
  <c r="F10" i="2"/>
  <c r="F9" i="2"/>
  <c r="F8" i="2"/>
  <c r="G8" i="5" l="1"/>
  <c r="G7" i="5"/>
  <c r="B12" i="5"/>
  <c r="C12" i="5"/>
  <c r="O15" i="7" l="1"/>
  <c r="C15" i="7"/>
  <c r="N14" i="7"/>
  <c r="M14" i="7"/>
  <c r="L14" i="7"/>
  <c r="K14" i="7"/>
  <c r="J14" i="7"/>
  <c r="I14" i="7"/>
  <c r="H14" i="7"/>
  <c r="G14" i="7"/>
  <c r="F14" i="7"/>
  <c r="E14" i="7"/>
  <c r="N13" i="7"/>
  <c r="M13" i="7"/>
  <c r="J13" i="7"/>
  <c r="I13" i="7"/>
  <c r="H13" i="7"/>
  <c r="G13" i="7"/>
  <c r="F13" i="7"/>
  <c r="E13" i="7"/>
  <c r="N12" i="7"/>
  <c r="M12" i="7"/>
  <c r="L12" i="7"/>
  <c r="K12" i="7"/>
  <c r="J12" i="7"/>
  <c r="I12" i="7"/>
  <c r="H12" i="7"/>
  <c r="G12" i="7"/>
  <c r="F12" i="7"/>
  <c r="E12" i="7"/>
  <c r="B12" i="7"/>
  <c r="N11" i="7"/>
  <c r="M11" i="7"/>
  <c r="L11" i="7"/>
  <c r="K11" i="7"/>
  <c r="J11" i="7"/>
  <c r="I11" i="7"/>
  <c r="H11" i="7"/>
  <c r="G11" i="7"/>
  <c r="F11" i="7"/>
  <c r="E11" i="7"/>
  <c r="F10" i="7"/>
  <c r="N10" i="7"/>
  <c r="M10" i="7"/>
  <c r="L10" i="7"/>
  <c r="K10" i="7"/>
  <c r="J10" i="7"/>
  <c r="I10" i="7"/>
  <c r="H10" i="7"/>
  <c r="G10" i="7"/>
  <c r="E10" i="7"/>
  <c r="N9" i="7"/>
  <c r="M9" i="7"/>
  <c r="L9" i="7"/>
  <c r="K9" i="7"/>
  <c r="J9" i="7"/>
  <c r="I9" i="7"/>
  <c r="H9" i="7"/>
  <c r="G9" i="7"/>
  <c r="F9" i="7"/>
  <c r="E9" i="7"/>
  <c r="B14" i="7"/>
  <c r="B13" i="7"/>
  <c r="B11" i="7"/>
  <c r="B10" i="7"/>
  <c r="B9" i="7"/>
  <c r="O17" i="8"/>
  <c r="N16" i="8"/>
  <c r="M16" i="8"/>
  <c r="L16" i="8"/>
  <c r="K16" i="8"/>
  <c r="J16" i="8"/>
  <c r="I16" i="8"/>
  <c r="H16" i="8"/>
  <c r="G16" i="8"/>
  <c r="F16" i="8"/>
  <c r="E16" i="8"/>
  <c r="N15" i="8"/>
  <c r="M15" i="8"/>
  <c r="L15" i="8"/>
  <c r="K15" i="8"/>
  <c r="J15" i="8"/>
  <c r="I15" i="8"/>
  <c r="H15" i="8"/>
  <c r="G15" i="8"/>
  <c r="F15" i="8"/>
  <c r="E15" i="8"/>
  <c r="N14" i="8"/>
  <c r="M14" i="8"/>
  <c r="L14" i="8"/>
  <c r="K14" i="8"/>
  <c r="J14" i="8"/>
  <c r="I14" i="8"/>
  <c r="H14" i="8"/>
  <c r="G14" i="8"/>
  <c r="F14" i="8"/>
  <c r="E14" i="8"/>
  <c r="N13" i="8"/>
  <c r="M13" i="8"/>
  <c r="L13" i="8"/>
  <c r="K13" i="8"/>
  <c r="J13" i="8"/>
  <c r="H13" i="8"/>
  <c r="G13" i="8"/>
  <c r="F13" i="8"/>
  <c r="E13" i="8"/>
  <c r="N12" i="8"/>
  <c r="M12" i="8"/>
  <c r="J12" i="8"/>
  <c r="H12" i="8"/>
  <c r="G12" i="8"/>
  <c r="F12" i="8"/>
  <c r="E12" i="8"/>
  <c r="N11" i="8"/>
  <c r="M11" i="8"/>
  <c r="L11" i="8"/>
  <c r="K11" i="8"/>
  <c r="J11" i="8"/>
  <c r="I11" i="8"/>
  <c r="H11" i="8"/>
  <c r="G11" i="8"/>
  <c r="F11" i="8"/>
  <c r="E11" i="8"/>
  <c r="N10" i="8"/>
  <c r="M10" i="8"/>
  <c r="L10" i="8"/>
  <c r="K10" i="8"/>
  <c r="J10" i="8"/>
  <c r="I10" i="8"/>
  <c r="H10" i="8"/>
  <c r="G10" i="8"/>
  <c r="F10" i="8"/>
  <c r="E10" i="8"/>
  <c r="N9" i="8"/>
  <c r="M9" i="8"/>
  <c r="L9" i="8"/>
  <c r="K9" i="8"/>
  <c r="J9" i="8"/>
  <c r="I9" i="8"/>
  <c r="H9" i="8"/>
  <c r="G9" i="8"/>
  <c r="F9" i="8"/>
  <c r="E9" i="8"/>
  <c r="N8" i="8"/>
  <c r="M8" i="8"/>
  <c r="L8" i="8"/>
  <c r="L17" i="8" l="1"/>
  <c r="L15" i="7"/>
  <c r="E15" i="7"/>
  <c r="K15" i="7"/>
  <c r="N17" i="8"/>
  <c r="M17" i="8"/>
  <c r="G15" i="7"/>
  <c r="F15" i="7"/>
  <c r="M15" i="7"/>
  <c r="I15" i="7"/>
  <c r="H15" i="7"/>
  <c r="J15" i="7"/>
  <c r="B15" i="7"/>
  <c r="K8" i="8"/>
  <c r="K17" i="8" s="1"/>
  <c r="J8" i="8"/>
  <c r="J17" i="8" s="1"/>
  <c r="I8" i="8"/>
  <c r="I17" i="8" s="1"/>
  <c r="H8" i="8"/>
  <c r="H17" i="8" s="1"/>
  <c r="G8" i="8"/>
  <c r="G17" i="8" s="1"/>
  <c r="F8" i="8"/>
  <c r="F17" i="8" s="1"/>
  <c r="E8" i="8"/>
  <c r="E17" i="8" s="1"/>
  <c r="B16" i="8"/>
  <c r="B15" i="8"/>
  <c r="B14" i="8"/>
  <c r="B13" i="8"/>
  <c r="B12" i="8"/>
  <c r="B11" i="8"/>
  <c r="B10" i="8"/>
  <c r="B9" i="8"/>
  <c r="B8" i="8"/>
  <c r="F14" i="11"/>
  <c r="G14" i="11"/>
  <c r="H14" i="11"/>
  <c r="I14" i="11"/>
  <c r="J14" i="11"/>
  <c r="K14" i="11"/>
  <c r="L14" i="11"/>
  <c r="E14" i="11"/>
  <c r="C14" i="11"/>
  <c r="B14" i="11"/>
  <c r="C14" i="9"/>
  <c r="F14" i="9"/>
  <c r="G14" i="9"/>
  <c r="H14" i="9"/>
  <c r="I14" i="9"/>
  <c r="J14" i="9"/>
  <c r="K14" i="9"/>
  <c r="L14" i="9"/>
  <c r="M14" i="9"/>
  <c r="N14" i="9"/>
  <c r="E14" i="9"/>
  <c r="B14" i="9"/>
  <c r="B17" i="8" l="1"/>
  <c r="C17" i="12"/>
  <c r="B17" i="12"/>
  <c r="F17" i="10"/>
  <c r="G17" i="10"/>
  <c r="H17" i="10"/>
  <c r="I17" i="10"/>
  <c r="J17" i="10"/>
  <c r="K17" i="10"/>
  <c r="L17" i="10"/>
  <c r="M17" i="10"/>
  <c r="N17" i="10"/>
  <c r="E17" i="10"/>
  <c r="C17" i="10"/>
  <c r="B17" i="10"/>
  <c r="I13" i="13" l="1"/>
  <c r="H13" i="13"/>
  <c r="I12" i="13"/>
  <c r="H12" i="13"/>
  <c r="I11" i="13"/>
  <c r="H11" i="13"/>
  <c r="I9" i="13"/>
  <c r="H9" i="13"/>
  <c r="I8" i="13"/>
  <c r="H8" i="13"/>
  <c r="J29" i="14"/>
  <c r="J30" i="14"/>
  <c r="J31" i="14"/>
  <c r="J32" i="14"/>
  <c r="J33" i="14"/>
  <c r="I34" i="14"/>
  <c r="H34" i="14"/>
  <c r="J28" i="14"/>
  <c r="I23" i="14"/>
  <c r="H23" i="14"/>
  <c r="J18" i="14"/>
  <c r="J19" i="14"/>
  <c r="J20" i="14"/>
  <c r="J21" i="14"/>
  <c r="J22" i="14"/>
  <c r="J17" i="14"/>
  <c r="J34" i="14" l="1"/>
  <c r="J23" i="14"/>
  <c r="J12" i="13"/>
  <c r="J9" i="13"/>
  <c r="H14" i="13"/>
  <c r="J8" i="13"/>
  <c r="J11" i="13"/>
  <c r="J10" i="13"/>
  <c r="J13" i="13"/>
  <c r="I14" i="13"/>
  <c r="J7" i="14"/>
  <c r="J8" i="14"/>
  <c r="J9" i="14"/>
  <c r="J10" i="14"/>
  <c r="J11" i="14"/>
  <c r="J6" i="14"/>
  <c r="I12" i="14"/>
  <c r="H12" i="14"/>
  <c r="J11" i="15"/>
  <c r="J12" i="15"/>
  <c r="J10" i="15"/>
  <c r="J15" i="15" l="1"/>
  <c r="J13" i="15"/>
  <c r="I18" i="15"/>
  <c r="J16" i="15"/>
  <c r="J9" i="15"/>
  <c r="J17" i="15"/>
  <c r="J8" i="15"/>
  <c r="J37" i="14"/>
  <c r="J14" i="13"/>
  <c r="J12" i="14"/>
  <c r="H18" i="15"/>
  <c r="J38" i="16"/>
  <c r="J39" i="16"/>
  <c r="J40" i="16"/>
  <c r="J42" i="16"/>
  <c r="J45" i="16"/>
  <c r="J46" i="16"/>
  <c r="I47" i="16"/>
  <c r="H47" i="16"/>
  <c r="I32" i="16"/>
  <c r="J31" i="16"/>
  <c r="J27" i="16"/>
  <c r="J23" i="16"/>
  <c r="G23" i="16"/>
  <c r="H32" i="16"/>
  <c r="J47" i="16" l="1"/>
  <c r="J18" i="15"/>
  <c r="J32" i="16"/>
  <c r="J7" i="16"/>
  <c r="G7" i="16"/>
  <c r="J8" i="16"/>
  <c r="J9" i="16"/>
  <c r="J11" i="16"/>
  <c r="J12" i="16"/>
  <c r="J14" i="16"/>
  <c r="J15" i="16"/>
  <c r="J16" i="16"/>
  <c r="J50" i="16" l="1"/>
  <c r="D7" i="16"/>
  <c r="D8" i="16"/>
  <c r="G8" i="16"/>
  <c r="D9" i="16"/>
  <c r="G9" i="16"/>
  <c r="D10" i="16"/>
  <c r="D11" i="16"/>
  <c r="G11" i="16"/>
  <c r="D12" i="16"/>
  <c r="G12" i="16"/>
  <c r="J17" i="16" l="1"/>
  <c r="F8" i="4"/>
  <c r="F9" i="4"/>
  <c r="F10" i="4"/>
  <c r="F11" i="4"/>
  <c r="F12" i="4"/>
  <c r="F13" i="4"/>
  <c r="F7" i="4"/>
  <c r="E8" i="4"/>
  <c r="E9" i="4"/>
  <c r="E10" i="4"/>
  <c r="E11" i="4"/>
  <c r="E13" i="4"/>
  <c r="E7" i="4"/>
  <c r="D8" i="4"/>
  <c r="D9" i="4"/>
  <c r="D10" i="4"/>
  <c r="D11" i="4"/>
  <c r="D12" i="4"/>
  <c r="D13" i="4"/>
  <c r="D7" i="4"/>
  <c r="C8" i="4"/>
  <c r="C9" i="4"/>
  <c r="C10" i="4"/>
  <c r="C11" i="4"/>
  <c r="C12" i="4"/>
  <c r="C13" i="4"/>
  <c r="C7" i="4"/>
  <c r="B8" i="4"/>
  <c r="B9" i="4"/>
  <c r="B10" i="4"/>
  <c r="B11" i="4"/>
  <c r="B12" i="4"/>
  <c r="B13" i="4"/>
  <c r="B7" i="4"/>
  <c r="D14" i="3"/>
  <c r="E14" i="3"/>
  <c r="F14" i="3"/>
  <c r="C14" i="3"/>
  <c r="E12" i="4"/>
  <c r="G11" i="4" l="1"/>
  <c r="G14" i="3"/>
  <c r="G7" i="4"/>
  <c r="G9" i="4"/>
  <c r="G10" i="4"/>
  <c r="G13" i="4"/>
  <c r="G8" i="4"/>
  <c r="G12" i="4"/>
  <c r="F8" i="5"/>
  <c r="F9" i="5"/>
  <c r="F10" i="5"/>
  <c r="F11" i="5"/>
  <c r="B14" i="3"/>
  <c r="D11" i="6"/>
  <c r="E11" i="6" s="1"/>
  <c r="D10" i="6"/>
  <c r="E10" i="6" s="1"/>
  <c r="D9" i="6"/>
  <c r="E9" i="6" s="1"/>
  <c r="D8" i="6"/>
  <c r="E8" i="6" s="1"/>
  <c r="D7" i="6"/>
  <c r="E7" i="6" s="1"/>
  <c r="G9" i="5"/>
  <c r="G10" i="5"/>
  <c r="G11" i="5"/>
  <c r="F7" i="5"/>
  <c r="E12" i="5"/>
  <c r="D12" i="5"/>
  <c r="F12" i="5" s="1"/>
  <c r="G12" i="5" l="1"/>
  <c r="H11" i="3"/>
  <c r="H12" i="3"/>
  <c r="H7" i="3"/>
  <c r="H13" i="3"/>
  <c r="H9" i="3"/>
  <c r="H8" i="3"/>
  <c r="H10" i="3"/>
  <c r="D12" i="6"/>
  <c r="E12" i="6" s="1"/>
  <c r="G29" i="14" l="1"/>
  <c r="G30" i="14"/>
  <c r="G31" i="14"/>
  <c r="G32" i="14"/>
  <c r="G33" i="14"/>
  <c r="G28" i="14"/>
  <c r="F34" i="14"/>
  <c r="E34" i="14"/>
  <c r="G20" i="14"/>
  <c r="G21" i="14"/>
  <c r="G22" i="14"/>
  <c r="G19" i="14"/>
  <c r="G18" i="14"/>
  <c r="G17" i="14"/>
  <c r="F23" i="14"/>
  <c r="E23" i="14"/>
  <c r="G23" i="14" s="1"/>
  <c r="G9" i="14"/>
  <c r="G10" i="14"/>
  <c r="G11" i="14"/>
  <c r="G8" i="14"/>
  <c r="G7" i="14"/>
  <c r="G6" i="14"/>
  <c r="F12" i="14"/>
  <c r="E12" i="14"/>
  <c r="E37" i="14" s="1"/>
  <c r="F32" i="16"/>
  <c r="E32" i="16"/>
  <c r="G31" i="16"/>
  <c r="G27" i="16"/>
  <c r="G34" i="14" l="1"/>
  <c r="F37" i="14"/>
  <c r="G37" i="14" s="1"/>
  <c r="G12" i="14"/>
  <c r="G32" i="16"/>
  <c r="F47" i="16"/>
  <c r="E47" i="16"/>
  <c r="G39" i="16"/>
  <c r="G40" i="16"/>
  <c r="G42" i="16"/>
  <c r="G45" i="16"/>
  <c r="G46" i="16"/>
  <c r="G38" i="16"/>
  <c r="G47" i="16" l="1"/>
  <c r="F18" i="15"/>
  <c r="E18" i="15"/>
  <c r="G9" i="15"/>
  <c r="G10" i="15"/>
  <c r="G11" i="15"/>
  <c r="G12" i="15"/>
  <c r="G13" i="15"/>
  <c r="G15" i="15"/>
  <c r="G16" i="15"/>
  <c r="G17" i="15"/>
  <c r="G8" i="15"/>
  <c r="G9" i="13"/>
  <c r="G10" i="13"/>
  <c r="G11" i="13"/>
  <c r="G12" i="13"/>
  <c r="G13" i="13"/>
  <c r="G8" i="13"/>
  <c r="F14" i="13"/>
  <c r="E14" i="13"/>
  <c r="G18" i="15" l="1"/>
  <c r="G14" i="13"/>
  <c r="D14" i="12"/>
  <c r="D15" i="10"/>
  <c r="D14" i="10"/>
  <c r="D15" i="8" l="1"/>
  <c r="D14" i="8"/>
  <c r="D8" i="12" l="1"/>
  <c r="D33" i="14" l="1"/>
  <c r="D32" i="14"/>
  <c r="D31" i="14"/>
  <c r="D30" i="14"/>
  <c r="D29" i="14"/>
  <c r="D28" i="14"/>
  <c r="D22" i="14"/>
  <c r="D21" i="14"/>
  <c r="D20" i="14"/>
  <c r="D19" i="14"/>
  <c r="D18" i="14"/>
  <c r="D17" i="14"/>
  <c r="D11" i="14"/>
  <c r="D10" i="14"/>
  <c r="D9" i="14"/>
  <c r="D8" i="14"/>
  <c r="D7" i="14"/>
  <c r="D6" i="14"/>
  <c r="B32" i="16"/>
  <c r="B17" i="16"/>
  <c r="D46" i="16"/>
  <c r="D45" i="16"/>
  <c r="D42" i="16"/>
  <c r="D40" i="16"/>
  <c r="D39" i="16"/>
  <c r="D38" i="16"/>
  <c r="D31" i="16"/>
  <c r="D27" i="16"/>
  <c r="D23" i="16"/>
  <c r="D16" i="16"/>
  <c r="D15" i="16"/>
  <c r="D14" i="16"/>
  <c r="D8" i="10" l="1"/>
  <c r="D16" i="12"/>
  <c r="D15" i="12"/>
  <c r="D12" i="12"/>
  <c r="D10" i="12"/>
  <c r="D9" i="12"/>
  <c r="C34" i="14" l="1"/>
  <c r="B34" i="14"/>
  <c r="C23" i="14"/>
  <c r="B23" i="14"/>
  <c r="C12" i="14"/>
  <c r="C37" i="14" s="1"/>
  <c r="B12" i="14"/>
  <c r="B37" i="14" s="1"/>
  <c r="C47" i="16"/>
  <c r="B47" i="16"/>
  <c r="B50" i="16" s="1"/>
  <c r="C32" i="16"/>
  <c r="D32" i="16" s="1"/>
  <c r="D13" i="11"/>
  <c r="D37" i="14" l="1"/>
  <c r="D23" i="14"/>
  <c r="D34" i="14"/>
  <c r="D47" i="16"/>
  <c r="D12" i="14"/>
  <c r="F8" i="6" l="1"/>
  <c r="F9" i="6"/>
  <c r="F10" i="6"/>
  <c r="F11" i="6"/>
  <c r="F7" i="6"/>
  <c r="G9" i="6" l="1"/>
  <c r="B12" i="6"/>
  <c r="C12" i="6" s="1"/>
  <c r="G8" i="6"/>
  <c r="G11" i="6"/>
  <c r="G10" i="6"/>
  <c r="F12" i="6" l="1"/>
  <c r="D14" i="11" l="1"/>
  <c r="C17" i="16" l="1"/>
  <c r="C50" i="16" s="1"/>
  <c r="D50" i="16" l="1"/>
  <c r="B9" i="15" l="1"/>
  <c r="C9" i="15"/>
  <c r="B10" i="15"/>
  <c r="C10" i="15"/>
  <c r="B11" i="15"/>
  <c r="C11" i="15"/>
  <c r="B12" i="15"/>
  <c r="C12" i="15"/>
  <c r="B13" i="15"/>
  <c r="C13" i="15"/>
  <c r="B14" i="15"/>
  <c r="C14" i="15"/>
  <c r="B15" i="15"/>
  <c r="C15" i="15"/>
  <c r="B16" i="15"/>
  <c r="C16" i="15"/>
  <c r="B17" i="15"/>
  <c r="C17" i="15"/>
  <c r="C8" i="15"/>
  <c r="B8" i="15"/>
  <c r="C13" i="13"/>
  <c r="B13" i="13"/>
  <c r="C12" i="13"/>
  <c r="B12" i="13"/>
  <c r="C11" i="13"/>
  <c r="B11" i="13"/>
  <c r="C10" i="13"/>
  <c r="B10" i="13"/>
  <c r="C9" i="13"/>
  <c r="B9" i="13"/>
  <c r="C8" i="13"/>
  <c r="B8" i="13"/>
  <c r="H7" i="4"/>
  <c r="F17" i="12"/>
  <c r="E17" i="12"/>
  <c r="L17" i="12"/>
  <c r="K17" i="12"/>
  <c r="J17" i="12"/>
  <c r="I17" i="12"/>
  <c r="H17" i="12"/>
  <c r="G17" i="12"/>
  <c r="D10" i="10"/>
  <c r="D11" i="10"/>
  <c r="D13" i="10"/>
  <c r="D16" i="10"/>
  <c r="D12" i="11"/>
  <c r="D11" i="11"/>
  <c r="D10" i="11"/>
  <c r="D9" i="11"/>
  <c r="J9" i="4"/>
  <c r="K9" i="4"/>
  <c r="L9" i="4"/>
  <c r="J10" i="4"/>
  <c r="K10" i="4"/>
  <c r="L10" i="4"/>
  <c r="J11" i="4"/>
  <c r="K11" i="4"/>
  <c r="L11" i="4"/>
  <c r="J12" i="4"/>
  <c r="K12" i="4"/>
  <c r="L12" i="4"/>
  <c r="J13" i="4"/>
  <c r="K13" i="4"/>
  <c r="L13" i="4"/>
  <c r="I13" i="4"/>
  <c r="I12" i="4"/>
  <c r="I11" i="4"/>
  <c r="I10" i="4"/>
  <c r="I9" i="4"/>
  <c r="J8" i="4"/>
  <c r="K8" i="4"/>
  <c r="L8" i="4"/>
  <c r="I8" i="4"/>
  <c r="J7" i="4"/>
  <c r="K7" i="4"/>
  <c r="L7" i="4"/>
  <c r="I7" i="4"/>
  <c r="H8" i="4"/>
  <c r="H9" i="4"/>
  <c r="H10" i="4"/>
  <c r="H11" i="4"/>
  <c r="H12" i="4"/>
  <c r="H13" i="4"/>
  <c r="N13" i="3"/>
  <c r="N12" i="3"/>
  <c r="N11" i="3"/>
  <c r="N10" i="3"/>
  <c r="N9" i="3"/>
  <c r="N8" i="3"/>
  <c r="B18" i="15" l="1"/>
  <c r="N14" i="3"/>
  <c r="M13" i="4"/>
  <c r="D10" i="13"/>
  <c r="D14" i="9"/>
  <c r="D10" i="8"/>
  <c r="D12" i="8"/>
  <c r="D9" i="10"/>
  <c r="D17" i="10"/>
  <c r="D15" i="15"/>
  <c r="D17" i="15"/>
  <c r="D13" i="15"/>
  <c r="D11" i="15"/>
  <c r="D9" i="15"/>
  <c r="C18" i="15"/>
  <c r="D16" i="15"/>
  <c r="D12" i="15"/>
  <c r="D10" i="15"/>
  <c r="C14" i="13"/>
  <c r="D12" i="13"/>
  <c r="D9" i="13"/>
  <c r="D11" i="13"/>
  <c r="D13" i="13"/>
  <c r="D13" i="8"/>
  <c r="D8" i="8"/>
  <c r="D9" i="8"/>
  <c r="D11" i="8"/>
  <c r="D14" i="7"/>
  <c r="D12" i="7"/>
  <c r="M11" i="4"/>
  <c r="B14" i="13"/>
  <c r="D8" i="15"/>
  <c r="M9" i="4"/>
  <c r="D16" i="8"/>
  <c r="M12" i="4"/>
  <c r="M10" i="4"/>
  <c r="M7" i="4"/>
  <c r="D17" i="12"/>
  <c r="D11" i="7"/>
  <c r="D13" i="7"/>
  <c r="D8" i="13"/>
  <c r="M8" i="4"/>
  <c r="D17" i="16"/>
  <c r="D8" i="11"/>
  <c r="D10" i="7"/>
  <c r="O7" i="3" l="1"/>
  <c r="C17" i="8"/>
  <c r="D17" i="8" s="1"/>
  <c r="D15" i="7"/>
  <c r="D14" i="13"/>
  <c r="D18" i="15"/>
  <c r="O8" i="3"/>
  <c r="D9" i="7"/>
  <c r="O13" i="3"/>
  <c r="O11" i="3"/>
  <c r="O9" i="3"/>
  <c r="O10" i="3"/>
  <c r="O12" i="3"/>
  <c r="H14" i="3" l="1"/>
  <c r="O14" i="3"/>
  <c r="G7" i="6"/>
  <c r="G12" i="6"/>
  <c r="G10" i="16"/>
  <c r="F17" i="16"/>
  <c r="F50" i="16" s="1"/>
  <c r="E17" i="16"/>
  <c r="E50" i="16" s="1"/>
  <c r="G50" i="16" l="1"/>
  <c r="G17" i="16"/>
</calcChain>
</file>

<file path=xl/sharedStrings.xml><?xml version="1.0" encoding="utf-8"?>
<sst xmlns="http://schemas.openxmlformats.org/spreadsheetml/2006/main" count="481" uniqueCount="115">
  <si>
    <r>
      <t>Příloha č. 1:</t>
    </r>
    <r>
      <rPr>
        <i/>
        <sz val="11.5"/>
        <rFont val="Times New Roman"/>
        <family val="1"/>
        <charset val="238"/>
      </rPr>
      <t xml:space="preserve"> Celkové výdaje na školy a školská zařízení zřizované Karlovarským krajem v Kč</t>
    </r>
  </si>
  <si>
    <t xml:space="preserve"> </t>
  </si>
  <si>
    <t xml:space="preserve">Školy a školská zařízení </t>
  </si>
  <si>
    <t>přímé výdaje</t>
  </si>
  <si>
    <t>provozní výdaje</t>
  </si>
  <si>
    <t>investiční výdaje</t>
  </si>
  <si>
    <t>programové financování</t>
  </si>
  <si>
    <t>celkem</t>
  </si>
  <si>
    <t>ZŠ</t>
  </si>
  <si>
    <t>SŠ</t>
  </si>
  <si>
    <t>VOŠ</t>
  </si>
  <si>
    <t>DD</t>
  </si>
  <si>
    <t>DM</t>
  </si>
  <si>
    <t>ZUŠ</t>
  </si>
  <si>
    <t>PPP</t>
  </si>
  <si>
    <t>DDM</t>
  </si>
  <si>
    <t>ŠS, ŠJ</t>
  </si>
  <si>
    <t>C e l k e m</t>
  </si>
  <si>
    <r>
      <t xml:space="preserve">Příloha č. 2: </t>
    </r>
    <r>
      <rPr>
        <i/>
        <sz val="11.5"/>
        <rFont val="Times New Roman"/>
        <family val="1"/>
        <charset val="238"/>
      </rPr>
      <t>Výdaje na dítě, žáka, studenta ve školách a školských zařízeních zřizovaných Karlovarským krajem v Kč</t>
    </r>
  </si>
  <si>
    <r>
      <t xml:space="preserve">Příloha č. 3: </t>
    </r>
    <r>
      <rPr>
        <i/>
        <sz val="11.5"/>
        <rFont val="Times New Roman"/>
        <family val="1"/>
        <charset val="238"/>
      </rPr>
      <t>Celkové výdaje na přímé výdaje ve školách a školských zařízeních zřizovaných obcemi v Kč</t>
    </r>
  </si>
  <si>
    <t>výkony</t>
  </si>
  <si>
    <t>platy</t>
  </si>
  <si>
    <t>OON</t>
  </si>
  <si>
    <t>odvody, FKSP a ONIV</t>
  </si>
  <si>
    <t>MŠ</t>
  </si>
  <si>
    <t>ŠD, ŠK</t>
  </si>
  <si>
    <t>ŠJ</t>
  </si>
  <si>
    <t>Celkem</t>
  </si>
  <si>
    <r>
      <t xml:space="preserve">Příloha č. 4: </t>
    </r>
    <r>
      <rPr>
        <i/>
        <sz val="11.5"/>
        <rFont val="Times New Roman"/>
        <family val="1"/>
        <charset val="238"/>
      </rPr>
      <t>Výdaje na jedno dítě, žáka a studenta na přímé výdaje ve školách a školských zařízeních zřizovaných obcemi v Kč</t>
    </r>
  </si>
  <si>
    <t>platy na žáka</t>
  </si>
  <si>
    <t>celkové přímé výdaje</t>
  </si>
  <si>
    <t>ŠD</t>
  </si>
  <si>
    <t>přímé výdaje vč. programového financování</t>
  </si>
  <si>
    <t>ZŠ, ZŠ pro ŽSVP</t>
  </si>
  <si>
    <r>
      <t xml:space="preserve">Příloha č. 5: </t>
    </r>
    <r>
      <rPr>
        <i/>
        <sz val="11.5"/>
        <rFont val="Times New Roman"/>
        <family val="1"/>
        <charset val="238"/>
      </rPr>
      <t>Celkové výdaje na školy a školská zařízení zřizované soukromníkem v Kč</t>
    </r>
  </si>
  <si>
    <r>
      <t xml:space="preserve">Příloha č. 6: </t>
    </r>
    <r>
      <rPr>
        <i/>
        <sz val="11.5"/>
        <rFont val="Times New Roman"/>
        <family val="1"/>
        <charset val="238"/>
      </rPr>
      <t>Výdaje na dítě, žáka a studenta ve školách a školských zařízeních zřizovaných soukromníkem v Kč</t>
    </r>
  </si>
  <si>
    <t>Regionální školství</t>
  </si>
  <si>
    <t>Přepočtený počet zaměstnanců ze státního rozpočtu</t>
  </si>
  <si>
    <t>Mzdové prostředky bez OON  v Kč</t>
  </si>
  <si>
    <t>Průměrný měsíční plat v Kč ze mzdových postředků bez OON</t>
  </si>
  <si>
    <t>Jednotlivé složky platů v Kč</t>
  </si>
  <si>
    <t>OON                   v Kč</t>
  </si>
  <si>
    <t>Platové tarify</t>
  </si>
  <si>
    <t>Náhrady platu</t>
  </si>
  <si>
    <t>Osobní příplatky</t>
  </si>
  <si>
    <t>Odměny</t>
  </si>
  <si>
    <t>Příplatky za vedení</t>
  </si>
  <si>
    <t>Zvláštní příplatky</t>
  </si>
  <si>
    <t>Odměny za přespočetné hodiny</t>
  </si>
  <si>
    <t>Platy za přesčasy</t>
  </si>
  <si>
    <t>Ostatní příplatky a ostatní náhrady</t>
  </si>
  <si>
    <t>ZUŠ, DDM</t>
  </si>
  <si>
    <t xml:space="preserve">C E L K E M </t>
  </si>
  <si>
    <t>Mzdové prostředky bez OON                   v Kč</t>
  </si>
  <si>
    <t>OON                              v  Kč</t>
  </si>
  <si>
    <t>ZUŠ, DDM, DM, PPP, ŠH</t>
  </si>
  <si>
    <t>Mzdové prostředky bez OON                v Kč</t>
  </si>
  <si>
    <t>MŠ, ZŠ, SŠ pro ŽSVP</t>
  </si>
  <si>
    <t>Mzdové prostředky bez OON      v Kč</t>
  </si>
  <si>
    <t>C E L K E M</t>
  </si>
  <si>
    <t>Druh zařízení</t>
  </si>
  <si>
    <t>ø eviden. počet zaměst.</t>
  </si>
  <si>
    <t>platy zaměstnanců za rok</t>
  </si>
  <si>
    <t>ø měsíční plat na 1 zaměst.</t>
  </si>
  <si>
    <t>plat na 1</t>
  </si>
  <si>
    <t>CELKEM</t>
  </si>
  <si>
    <t>okres Karlovy Vary</t>
  </si>
  <si>
    <t>platy zaměst-nanců za rok</t>
  </si>
  <si>
    <t>okres Sokolov</t>
  </si>
  <si>
    <t>ZŠ,SŠ,ZŠ a SŠ pro ŽSVP</t>
  </si>
  <si>
    <t>okres Cheb</t>
  </si>
  <si>
    <t>OKRESY CELKEM</t>
  </si>
  <si>
    <t>MŠ a ZŠ pro ŽSVP</t>
  </si>
  <si>
    <t>SPC a PPP</t>
  </si>
  <si>
    <t xml:space="preserve">DD </t>
  </si>
  <si>
    <r>
      <rPr>
        <sz val="10"/>
        <rFont val="Arial"/>
        <family val="2"/>
        <charset val="238"/>
      </rPr>
      <t>Příloha č. 16:</t>
    </r>
    <r>
      <rPr>
        <i/>
        <sz val="10"/>
        <rFont val="Arial"/>
        <family val="2"/>
        <charset val="238"/>
      </rPr>
      <t xml:space="preserve"> Vývoj průměrného platu ve školách a školských zařízeních zřizovaných Karlovarským krajem podle okresů v Kč</t>
    </r>
  </si>
  <si>
    <t>specializační příplatky</t>
  </si>
  <si>
    <t>Specializační příplatky</t>
  </si>
  <si>
    <t>Příloha č. 14: Vývoj průměrného platu ve školách a školských zařízeních zřizovaných obcemi podle okresů v Kč</t>
  </si>
  <si>
    <t>SŠ, SPV</t>
  </si>
  <si>
    <t>ZŠ, SŠ</t>
  </si>
  <si>
    <t>ZŠ a SŠ pro ŽSVP</t>
  </si>
  <si>
    <t>SŠ, VOŠ</t>
  </si>
  <si>
    <t>ZŠ, SPC, SŠ pro ŽSVP</t>
  </si>
  <si>
    <t xml:space="preserve">MŠ a ZŠ při zdrav.zař. </t>
  </si>
  <si>
    <t xml:space="preserve"> ZŠ, SPC,  SŠ pro ŽSVP</t>
  </si>
  <si>
    <t xml:space="preserve"> ZŠ, SPC, SŠ pro ŽSVP</t>
  </si>
  <si>
    <t>MŠ, ZŠ při zdrav.zař.</t>
  </si>
  <si>
    <t xml:space="preserve"> ZŠ, SŠ pro ŽSVP</t>
  </si>
  <si>
    <r>
      <t xml:space="preserve">Příloha č. 13: </t>
    </r>
    <r>
      <rPr>
        <i/>
        <sz val="11.5"/>
        <rFont val="Times New Roman"/>
        <family val="1"/>
        <charset val="238"/>
      </rPr>
      <t xml:space="preserve">Vývoj průměrného platu ve školách a školských zařízeních </t>
    </r>
    <r>
      <rPr>
        <b/>
        <i/>
        <sz val="11.5"/>
        <rFont val="Times New Roman"/>
        <family val="1"/>
        <charset val="238"/>
      </rPr>
      <t>zřizovaných obcemi</t>
    </r>
    <r>
      <rPr>
        <i/>
        <sz val="11.5"/>
        <rFont val="Times New Roman"/>
        <family val="1"/>
        <charset val="238"/>
      </rPr>
      <t xml:space="preserve"> v Kč</t>
    </r>
  </si>
  <si>
    <t>ZŠ, SŠ pro ŽSVP</t>
  </si>
  <si>
    <r>
      <rPr>
        <sz val="10"/>
        <rFont val="Arial"/>
        <family val="2"/>
        <charset val="238"/>
      </rPr>
      <t xml:space="preserve">Příloha č. 15: </t>
    </r>
    <r>
      <rPr>
        <i/>
        <sz val="10"/>
        <rFont val="Arial"/>
        <family val="2"/>
        <charset val="238"/>
      </rPr>
      <t xml:space="preserve">Vývoj průměrného platu ve školách a školských zařízeních </t>
    </r>
    <r>
      <rPr>
        <b/>
        <i/>
        <sz val="10"/>
        <rFont val="Arial"/>
        <family val="2"/>
        <charset val="238"/>
      </rPr>
      <t>zřizovaných Karlovarským krajem</t>
    </r>
    <r>
      <rPr>
        <i/>
        <sz val="10"/>
        <rFont val="Arial"/>
        <family val="2"/>
        <charset val="238"/>
      </rPr>
      <t xml:space="preserve"> v Kč</t>
    </r>
  </si>
  <si>
    <t>rok 2018</t>
  </si>
  <si>
    <t>MŠ, ZŠ</t>
  </si>
  <si>
    <t>procentní podíl</t>
  </si>
  <si>
    <t>výkony 2018/2019</t>
  </si>
  <si>
    <t xml:space="preserve"> rok  2019</t>
  </si>
  <si>
    <t>rok 2019</t>
  </si>
  <si>
    <t>výkony 2019/2020</t>
  </si>
  <si>
    <t xml:space="preserve"> rok  2020</t>
  </si>
  <si>
    <t>index 2020/2019</t>
  </si>
  <si>
    <t>Zřizovatel - obec - rok 2020 - pracovníci celkem</t>
  </si>
  <si>
    <t>Zřizovatel - Karlovarský kraj - rok 2020 - pracovníci celkem</t>
  </si>
  <si>
    <t xml:space="preserve">Zřizovatel - obec - rok 2020 - pedagogičtí pracovníci </t>
  </si>
  <si>
    <t xml:space="preserve">Zřizovatel - Karlovarský kraj - rok 2020 - pedagogičtí pracovníci </t>
  </si>
  <si>
    <r>
      <t xml:space="preserve">Příloha č. 10: </t>
    </r>
    <r>
      <rPr>
        <i/>
        <sz val="11"/>
        <rFont val="Times New Roman"/>
        <family val="1"/>
        <charset val="238"/>
      </rPr>
      <t>Platové složky pedagogických pracovníků hrazené ze státního rozpočtu ve školách a školských zařízeních zřizovaných Karlovarským krajem za rok 2020</t>
    </r>
  </si>
  <si>
    <r>
      <t xml:space="preserve">Příloha č. 9: </t>
    </r>
    <r>
      <rPr>
        <i/>
        <sz val="11.5"/>
        <rFont val="Times New Roman"/>
        <family val="1"/>
        <charset val="238"/>
      </rPr>
      <t>Platové složky pedagogických pracovníků hrazené ze státního rozpočtu ve školách a školských zařízeních zřizovaných obcemi za rok 2020</t>
    </r>
  </si>
  <si>
    <r>
      <t xml:space="preserve">Příloha č. 8: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Karlovarským krajem za rok 2020</t>
    </r>
  </si>
  <si>
    <r>
      <t xml:space="preserve">Příloha č. 7: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obcemi za rok 2020</t>
    </r>
  </si>
  <si>
    <t xml:space="preserve">Zřizovatel - obec - rok 2020 - nepedagogičtí pracovníci </t>
  </si>
  <si>
    <r>
      <t xml:space="preserve">Příloha č. 11: </t>
    </r>
    <r>
      <rPr>
        <i/>
        <sz val="11.5"/>
        <rFont val="Times New Roman"/>
        <family val="1"/>
        <charset val="238"/>
      </rPr>
      <t>Platové složky nepedagogických pracovníků hrazené ze státního rozpočtu ve školách a školských zařízeních zřizovaných obcemi za rok 2020</t>
    </r>
  </si>
  <si>
    <r>
      <t xml:space="preserve">Příloha č. 12: </t>
    </r>
    <r>
      <rPr>
        <i/>
        <sz val="11.5"/>
        <rFont val="Times New Roman"/>
        <family val="1"/>
        <charset val="238"/>
      </rPr>
      <t xml:space="preserve">Platové složky nepedagogických pracovníků hrazené ze státního rozpočtu ve školách a školských zařízeních zřizovaných Karlovarským krajem za rok </t>
    </r>
    <r>
      <rPr>
        <sz val="11.5"/>
        <rFont val="Times New Roman"/>
        <family val="1"/>
        <charset val="238"/>
      </rPr>
      <t>2020</t>
    </r>
  </si>
  <si>
    <t xml:space="preserve">Zřizovatel - Karlovarský kraj - rok 2020 - nepedagogičtí pracovníci </t>
  </si>
  <si>
    <t>rok 2020</t>
  </si>
  <si>
    <t>rok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</si>
</sst>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00"/>
    <numFmt numFmtId="166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1.5"/>
      <name val="Times New Roman"/>
      <family val="1"/>
      <charset val="238"/>
    </font>
    <font>
      <i/>
      <sz val="11.5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9"/>
      <name val="Arial"/>
      <family val="2"/>
      <charset val="238"/>
    </font>
    <font>
      <sz val="7.5"/>
      <name val="Arial"/>
      <family val="2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1.5"/>
      <name val="Times New Roman"/>
      <family val="1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536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/>
    </xf>
    <xf numFmtId="4" fontId="3" fillId="0" borderId="0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center"/>
    </xf>
    <xf numFmtId="3" fontId="4" fillId="0" borderId="10" xfId="0" applyNumberFormat="1" applyFont="1" applyFill="1" applyBorder="1" applyAlignment="1">
      <alignment horizontal="right" vertical="center"/>
    </xf>
    <xf numFmtId="3" fontId="4" fillId="0" borderId="11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0" fontId="0" fillId="0" borderId="13" xfId="0" applyFill="1" applyBorder="1" applyAlignment="1">
      <alignment horizontal="left" vertical="center"/>
    </xf>
    <xf numFmtId="3" fontId="4" fillId="0" borderId="14" xfId="0" applyNumberFormat="1" applyFont="1" applyFill="1" applyBorder="1" applyAlignment="1">
      <alignment horizontal="right" vertical="center"/>
    </xf>
    <xf numFmtId="3" fontId="4" fillId="0" borderId="15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3" fontId="4" fillId="0" borderId="6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lef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20" xfId="0" applyNumberFormat="1" applyFont="1" applyFill="1" applyBorder="1" applyAlignment="1">
      <alignment horizontal="right" vertical="center"/>
    </xf>
    <xf numFmtId="3" fontId="4" fillId="3" borderId="20" xfId="0" applyNumberFormat="1" applyFont="1" applyFill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3" fontId="4" fillId="0" borderId="12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3" fontId="4" fillId="0" borderId="22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4" fillId="0" borderId="15" xfId="0" applyNumberFormat="1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3" fontId="4" fillId="0" borderId="20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0" fontId="3" fillId="0" borderId="2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3" fontId="4" fillId="0" borderId="29" xfId="0" applyNumberFormat="1" applyFont="1" applyFill="1" applyBorder="1" applyAlignment="1">
      <alignment horizontal="right" vertical="center"/>
    </xf>
    <xf numFmtId="3" fontId="9" fillId="0" borderId="31" xfId="0" applyNumberFormat="1" applyFont="1" applyBorder="1" applyAlignment="1">
      <alignment horizontal="right" vertical="center" wrapText="1"/>
    </xf>
    <xf numFmtId="3" fontId="4" fillId="3" borderId="11" xfId="0" applyNumberFormat="1" applyFont="1" applyFill="1" applyBorder="1" applyAlignment="1">
      <alignment horizontal="right" vertical="center"/>
    </xf>
    <xf numFmtId="2" fontId="4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vertical="center"/>
    </xf>
    <xf numFmtId="3" fontId="4" fillId="0" borderId="32" xfId="0" applyNumberFormat="1" applyFont="1" applyFill="1" applyBorder="1" applyAlignment="1">
      <alignment horizontal="right" vertical="center"/>
    </xf>
    <xf numFmtId="3" fontId="9" fillId="0" borderId="33" xfId="0" applyNumberFormat="1" applyFont="1" applyBorder="1" applyAlignment="1">
      <alignment horizontal="right" vertical="center"/>
    </xf>
    <xf numFmtId="3" fontId="9" fillId="0" borderId="34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vertical="center"/>
    </xf>
    <xf numFmtId="3" fontId="9" fillId="0" borderId="35" xfId="0" applyNumberFormat="1" applyFont="1" applyBorder="1" applyAlignment="1">
      <alignment horizontal="right" vertical="center"/>
    </xf>
    <xf numFmtId="3" fontId="9" fillId="0" borderId="36" xfId="0" applyNumberFormat="1" applyFont="1" applyBorder="1" applyAlignment="1">
      <alignment horizontal="right" vertical="center" wrapText="1"/>
    </xf>
    <xf numFmtId="3" fontId="4" fillId="3" borderId="7" xfId="0" applyNumberFormat="1" applyFont="1" applyFill="1" applyBorder="1" applyAlignment="1">
      <alignment horizontal="right" vertical="center"/>
    </xf>
    <xf numFmtId="0" fontId="6" fillId="0" borderId="18" xfId="0" applyFont="1" applyBorder="1" applyAlignment="1">
      <alignment vertical="center"/>
    </xf>
    <xf numFmtId="3" fontId="3" fillId="0" borderId="37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2" fontId="3" fillId="0" borderId="3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3" fontId="3" fillId="0" borderId="43" xfId="0" applyNumberFormat="1" applyFont="1" applyFill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38" xfId="0" applyNumberFormat="1" applyFon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164" fontId="0" fillId="0" borderId="0" xfId="0" applyNumberFormat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3" borderId="55" xfId="0" applyFont="1" applyFill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3" borderId="6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left" vertical="center" wrapText="1"/>
    </xf>
    <xf numFmtId="3" fontId="0" fillId="0" borderId="0" xfId="0" applyNumberFormat="1"/>
    <xf numFmtId="0" fontId="5" fillId="0" borderId="0" xfId="0" applyFont="1"/>
    <xf numFmtId="0" fontId="8" fillId="0" borderId="41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3" fontId="0" fillId="0" borderId="0" xfId="0" applyNumberFormat="1" applyFill="1" applyAlignment="1">
      <alignment vertical="center"/>
    </xf>
    <xf numFmtId="3" fontId="8" fillId="0" borderId="29" xfId="0" applyNumberFormat="1" applyFont="1" applyFill="1" applyBorder="1" applyAlignment="1">
      <alignment vertical="center"/>
    </xf>
    <xf numFmtId="3" fontId="8" fillId="0" borderId="81" xfId="0" applyNumberFormat="1" applyFon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164" fontId="4" fillId="0" borderId="82" xfId="0" applyNumberFormat="1" applyFont="1" applyBorder="1" applyAlignment="1">
      <alignment vertical="center"/>
    </xf>
    <xf numFmtId="3" fontId="4" fillId="0" borderId="83" xfId="0" applyNumberFormat="1" applyFont="1" applyBorder="1" applyAlignment="1">
      <alignment vertical="center"/>
    </xf>
    <xf numFmtId="164" fontId="4" fillId="0" borderId="41" xfId="0" applyNumberFormat="1" applyFont="1" applyBorder="1" applyAlignment="1">
      <alignment vertical="center"/>
    </xf>
    <xf numFmtId="3" fontId="4" fillId="0" borderId="76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164" fontId="4" fillId="5" borderId="41" xfId="0" applyNumberFormat="1" applyFont="1" applyFill="1" applyBorder="1" applyAlignment="1">
      <alignment vertical="center"/>
    </xf>
    <xf numFmtId="3" fontId="4" fillId="5" borderId="76" xfId="0" applyNumberFormat="1" applyFont="1" applyFill="1" applyBorder="1" applyAlignment="1">
      <alignment vertical="center"/>
    </xf>
    <xf numFmtId="0" fontId="4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" fontId="0" fillId="0" borderId="0" xfId="0" applyNumberFormat="1" applyAlignment="1">
      <alignment vertical="center"/>
    </xf>
    <xf numFmtId="1" fontId="13" fillId="0" borderId="0" xfId="0" applyNumberFormat="1" applyFont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/>
    <xf numFmtId="3" fontId="4" fillId="0" borderId="0" xfId="0" applyNumberFormat="1" applyFont="1"/>
    <xf numFmtId="0" fontId="0" fillId="0" borderId="0" xfId="0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2" fontId="4" fillId="0" borderId="5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55" xfId="0" applyFont="1" applyBorder="1" applyAlignment="1">
      <alignment vertical="center"/>
    </xf>
    <xf numFmtId="1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8" fillId="0" borderId="0" xfId="0" applyNumberFormat="1" applyFont="1" applyFill="1" applyAlignment="1">
      <alignment vertical="center"/>
    </xf>
    <xf numFmtId="166" fontId="0" fillId="0" borderId="0" xfId="0" applyNumberFormat="1" applyFill="1" applyAlignment="1">
      <alignment vertical="center"/>
    </xf>
    <xf numFmtId="166" fontId="16" fillId="0" borderId="0" xfId="0" applyNumberFormat="1" applyFont="1" applyFill="1" applyAlignment="1">
      <alignment vertical="center"/>
    </xf>
    <xf numFmtId="3" fontId="16" fillId="0" borderId="0" xfId="0" applyNumberFormat="1" applyFont="1" applyFill="1" applyAlignment="1">
      <alignment vertical="center"/>
    </xf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7" fillId="0" borderId="0" xfId="0" applyFont="1" applyAlignment="1">
      <alignment vertical="center"/>
    </xf>
    <xf numFmtId="3" fontId="17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16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3" fontId="4" fillId="0" borderId="71" xfId="0" applyNumberFormat="1" applyFont="1" applyFill="1" applyBorder="1" applyAlignment="1">
      <alignment vertical="center"/>
    </xf>
    <xf numFmtId="3" fontId="4" fillId="0" borderId="82" xfId="0" applyNumberFormat="1" applyFont="1" applyFill="1" applyBorder="1" applyAlignment="1">
      <alignment vertical="center"/>
    </xf>
    <xf numFmtId="0" fontId="6" fillId="0" borderId="74" xfId="0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3" fontId="4" fillId="0" borderId="17" xfId="0" applyNumberFormat="1" applyFont="1" applyFill="1" applyBorder="1" applyAlignment="1">
      <alignment vertical="center"/>
    </xf>
    <xf numFmtId="4" fontId="4" fillId="0" borderId="82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4" fontId="21" fillId="0" borderId="14" xfId="0" applyNumberFormat="1" applyFont="1" applyBorder="1" applyAlignment="1">
      <alignment vertical="center"/>
    </xf>
    <xf numFmtId="3" fontId="21" fillId="0" borderId="15" xfId="0" applyNumberFormat="1" applyFont="1" applyBorder="1" applyAlignment="1">
      <alignment vertical="center"/>
    </xf>
    <xf numFmtId="3" fontId="21" fillId="0" borderId="22" xfId="0" applyNumberFormat="1" applyFont="1" applyBorder="1" applyAlignment="1">
      <alignment vertical="center"/>
    </xf>
    <xf numFmtId="164" fontId="21" fillId="0" borderId="68" xfId="0" applyNumberFormat="1" applyFont="1" applyBorder="1" applyAlignment="1">
      <alignment vertical="center"/>
    </xf>
    <xf numFmtId="3" fontId="21" fillId="0" borderId="71" xfId="0" applyNumberFormat="1" applyFont="1" applyBorder="1" applyAlignment="1">
      <alignment vertical="center"/>
    </xf>
    <xf numFmtId="164" fontId="21" fillId="0" borderId="41" xfId="0" applyNumberFormat="1" applyFont="1" applyBorder="1" applyAlignment="1">
      <alignment vertical="center"/>
    </xf>
    <xf numFmtId="3" fontId="21" fillId="0" borderId="76" xfId="0" applyNumberFormat="1" applyFont="1" applyBorder="1" applyAlignment="1">
      <alignment vertical="center"/>
    </xf>
    <xf numFmtId="3" fontId="21" fillId="0" borderId="42" xfId="0" applyNumberFormat="1" applyFont="1" applyBorder="1" applyAlignment="1">
      <alignment vertical="center"/>
    </xf>
    <xf numFmtId="164" fontId="21" fillId="6" borderId="41" xfId="0" applyNumberFormat="1" applyFont="1" applyFill="1" applyBorder="1" applyAlignment="1">
      <alignment vertical="center"/>
    </xf>
    <xf numFmtId="3" fontId="21" fillId="6" borderId="76" xfId="0" applyNumberFormat="1" applyFont="1" applyFill="1" applyBorder="1" applyAlignment="1">
      <alignment vertical="center"/>
    </xf>
    <xf numFmtId="3" fontId="21" fillId="6" borderId="42" xfId="0" applyNumberFormat="1" applyFont="1" applyFill="1" applyBorder="1" applyAlignment="1">
      <alignment vertical="center"/>
    </xf>
    <xf numFmtId="3" fontId="3" fillId="0" borderId="87" xfId="0" applyNumberFormat="1" applyFont="1" applyBorder="1" applyAlignment="1">
      <alignment vertical="center"/>
    </xf>
    <xf numFmtId="3" fontId="3" fillId="0" borderId="21" xfId="0" applyNumberFormat="1" applyFont="1" applyBorder="1" applyAlignment="1">
      <alignment vertical="center"/>
    </xf>
    <xf numFmtId="3" fontId="4" fillId="0" borderId="53" xfId="0" applyNumberFormat="1" applyFont="1" applyFill="1" applyBorder="1" applyAlignment="1">
      <alignment vertical="center"/>
    </xf>
    <xf numFmtId="3" fontId="4" fillId="0" borderId="56" xfId="0" applyNumberFormat="1" applyFont="1" applyFill="1" applyBorder="1" applyAlignment="1">
      <alignment vertical="center"/>
    </xf>
    <xf numFmtId="3" fontId="4" fillId="0" borderId="88" xfId="0" applyNumberFormat="1" applyFont="1" applyFill="1" applyBorder="1" applyAlignment="1">
      <alignment vertical="center"/>
    </xf>
    <xf numFmtId="3" fontId="4" fillId="0" borderId="8" xfId="1" applyNumberFormat="1" applyFont="1" applyBorder="1"/>
    <xf numFmtId="4" fontId="3" fillId="0" borderId="21" xfId="0" applyNumberFormat="1" applyFont="1" applyBorder="1" applyAlignment="1">
      <alignment vertical="center"/>
    </xf>
    <xf numFmtId="3" fontId="4" fillId="0" borderId="89" xfId="0" applyNumberFormat="1" applyFont="1" applyFill="1" applyBorder="1" applyAlignment="1">
      <alignment horizontal="right" vertical="center"/>
    </xf>
    <xf numFmtId="3" fontId="4" fillId="0" borderId="90" xfId="0" applyNumberFormat="1" applyFont="1" applyBorder="1" applyAlignment="1">
      <alignment vertical="center"/>
    </xf>
    <xf numFmtId="3" fontId="4" fillId="0" borderId="88" xfId="0" applyNumberFormat="1" applyFont="1" applyBorder="1" applyAlignment="1">
      <alignment vertical="center"/>
    </xf>
    <xf numFmtId="3" fontId="4" fillId="0" borderId="19" xfId="0" applyNumberFormat="1" applyFont="1" applyFill="1" applyBorder="1" applyAlignment="1">
      <alignment horizontal="right" vertical="center"/>
    </xf>
    <xf numFmtId="3" fontId="4" fillId="0" borderId="80" xfId="0" applyNumberFormat="1" applyFont="1" applyBorder="1" applyAlignment="1">
      <alignment vertical="center"/>
    </xf>
    <xf numFmtId="3" fontId="4" fillId="0" borderId="71" xfId="0" applyNumberFormat="1" applyFont="1" applyBorder="1" applyAlignment="1">
      <alignment vertical="center"/>
    </xf>
    <xf numFmtId="3" fontId="4" fillId="0" borderId="74" xfId="0" applyNumberFormat="1" applyFont="1" applyBorder="1" applyAlignment="1">
      <alignment vertical="center"/>
    </xf>
    <xf numFmtId="3" fontId="0" fillId="0" borderId="0" xfId="0" applyNumberFormat="1" applyFill="1" applyBorder="1"/>
    <xf numFmtId="3" fontId="0" fillId="0" borderId="0" xfId="0" applyNumberFormat="1" applyFont="1"/>
    <xf numFmtId="3" fontId="4" fillId="0" borderId="38" xfId="0" applyNumberFormat="1" applyFont="1" applyBorder="1" applyAlignment="1">
      <alignment vertical="center"/>
    </xf>
    <xf numFmtId="3" fontId="4" fillId="0" borderId="87" xfId="0" applyNumberFormat="1" applyFont="1" applyBorder="1" applyAlignment="1">
      <alignment horizontal="right" vertical="center"/>
    </xf>
    <xf numFmtId="3" fontId="4" fillId="0" borderId="92" xfId="0" applyNumberFormat="1" applyFont="1" applyBorder="1" applyAlignment="1">
      <alignment horizontal="right" vertical="center"/>
    </xf>
    <xf numFmtId="3" fontId="4" fillId="0" borderId="40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3" fontId="4" fillId="0" borderId="82" xfId="0" applyNumberFormat="1" applyFont="1" applyBorder="1" applyAlignment="1">
      <alignment vertical="center"/>
    </xf>
    <xf numFmtId="3" fontId="4" fillId="0" borderId="17" xfId="0" applyNumberFormat="1" applyFont="1" applyBorder="1" applyAlignment="1">
      <alignment vertical="center"/>
    </xf>
    <xf numFmtId="3" fontId="4" fillId="0" borderId="93" xfId="0" applyNumberFormat="1" applyFont="1" applyBorder="1" applyAlignment="1">
      <alignment vertical="center"/>
    </xf>
    <xf numFmtId="3" fontId="4" fillId="0" borderId="83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53" xfId="0" applyNumberFormat="1" applyFont="1" applyBorder="1" applyAlignment="1">
      <alignment vertical="center"/>
    </xf>
    <xf numFmtId="3" fontId="4" fillId="0" borderId="94" xfId="0" applyNumberFormat="1" applyFont="1" applyBorder="1" applyAlignment="1">
      <alignment vertical="center"/>
    </xf>
    <xf numFmtId="3" fontId="4" fillId="0" borderId="96" xfId="0" applyNumberFormat="1" applyFont="1" applyBorder="1" applyAlignment="1">
      <alignment vertical="center"/>
    </xf>
    <xf numFmtId="3" fontId="3" fillId="0" borderId="98" xfId="0" applyNumberFormat="1" applyFont="1" applyFill="1" applyBorder="1" applyAlignment="1">
      <alignment horizontal="center" vertical="center" wrapText="1"/>
    </xf>
    <xf numFmtId="0" fontId="3" fillId="0" borderId="97" xfId="0" applyFont="1" applyFill="1" applyBorder="1" applyAlignment="1">
      <alignment horizontal="center" vertical="center" wrapText="1"/>
    </xf>
    <xf numFmtId="4" fontId="3" fillId="0" borderId="87" xfId="0" applyNumberFormat="1" applyFont="1" applyBorder="1" applyAlignment="1">
      <alignment vertical="center"/>
    </xf>
    <xf numFmtId="3" fontId="3" fillId="0" borderId="41" xfId="0" applyNumberFormat="1" applyFont="1" applyBorder="1" applyAlignment="1">
      <alignment vertical="center"/>
    </xf>
    <xf numFmtId="3" fontId="3" fillId="0" borderId="42" xfId="0" applyNumberFormat="1" applyFont="1" applyBorder="1" applyAlignment="1">
      <alignment vertical="center"/>
    </xf>
    <xf numFmtId="3" fontId="3" fillId="0" borderId="41" xfId="0" applyNumberFormat="1" applyFont="1" applyFill="1" applyBorder="1" applyAlignment="1">
      <alignment vertical="center"/>
    </xf>
    <xf numFmtId="3" fontId="3" fillId="0" borderId="42" xfId="0" applyNumberFormat="1" applyFont="1" applyFill="1" applyBorder="1" applyAlignment="1">
      <alignment vertical="center"/>
    </xf>
    <xf numFmtId="4" fontId="3" fillId="0" borderId="41" xfId="0" applyNumberFormat="1" applyFont="1" applyBorder="1" applyAlignment="1">
      <alignment vertical="center"/>
    </xf>
    <xf numFmtId="4" fontId="3" fillId="0" borderId="42" xfId="0" applyNumberFormat="1" applyFont="1" applyBorder="1" applyAlignment="1">
      <alignment vertical="center"/>
    </xf>
    <xf numFmtId="164" fontId="22" fillId="0" borderId="10" xfId="0" applyNumberFormat="1" applyFont="1" applyBorder="1" applyAlignment="1">
      <alignment horizontal="right" vertical="center"/>
    </xf>
    <xf numFmtId="3" fontId="22" fillId="0" borderId="11" xfId="0" applyNumberFormat="1" applyFont="1" applyBorder="1" applyAlignment="1">
      <alignment horizontal="right" vertical="center"/>
    </xf>
    <xf numFmtId="3" fontId="22" fillId="0" borderId="30" xfId="0" applyNumberFormat="1" applyFont="1" applyBorder="1" applyAlignment="1">
      <alignment horizontal="right" vertical="center"/>
    </xf>
    <xf numFmtId="3" fontId="22" fillId="0" borderId="10" xfId="0" applyNumberFormat="1" applyFont="1" applyBorder="1" applyAlignment="1">
      <alignment horizontal="right" vertical="center"/>
    </xf>
    <xf numFmtId="3" fontId="22" fillId="0" borderId="54" xfId="0" applyNumberFormat="1" applyFont="1" applyBorder="1" applyAlignment="1">
      <alignment horizontal="right" vertical="center" wrapText="1"/>
    </xf>
    <xf numFmtId="3" fontId="22" fillId="0" borderId="12" xfId="0" applyNumberFormat="1" applyFont="1" applyBorder="1" applyAlignment="1">
      <alignment horizontal="right" vertical="center"/>
    </xf>
    <xf numFmtId="164" fontId="22" fillId="0" borderId="43" xfId="0" applyNumberFormat="1" applyFont="1" applyBorder="1" applyAlignment="1">
      <alignment horizontal="right" vertical="center"/>
    </xf>
    <xf numFmtId="3" fontId="22" fillId="0" borderId="51" xfId="0" applyNumberFormat="1" applyFont="1" applyBorder="1" applyAlignment="1">
      <alignment horizontal="right" vertical="center"/>
    </xf>
    <xf numFmtId="3" fontId="22" fillId="0" borderId="52" xfId="0" applyNumberFormat="1" applyFont="1" applyBorder="1" applyAlignment="1">
      <alignment horizontal="right" vertical="center"/>
    </xf>
    <xf numFmtId="3" fontId="22" fillId="0" borderId="43" xfId="0" applyNumberFormat="1" applyFont="1" applyBorder="1" applyAlignment="1">
      <alignment horizontal="right" vertical="center"/>
    </xf>
    <xf numFmtId="3" fontId="22" fillId="0" borderId="57" xfId="0" applyNumberFormat="1" applyFont="1" applyBorder="1" applyAlignment="1">
      <alignment horizontal="right" vertical="center"/>
    </xf>
    <xf numFmtId="3" fontId="22" fillId="0" borderId="5" xfId="0" applyNumberFormat="1" applyFont="1" applyBorder="1" applyAlignment="1">
      <alignment horizontal="right" vertical="center"/>
    </xf>
    <xf numFmtId="164" fontId="4" fillId="0" borderId="58" xfId="0" applyNumberFormat="1" applyFont="1" applyBorder="1" applyAlignment="1">
      <alignment horizontal="right" vertical="center"/>
    </xf>
    <xf numFmtId="3" fontId="9" fillId="0" borderId="20" xfId="0" applyNumberFormat="1" applyFont="1" applyBorder="1" applyAlignment="1">
      <alignment horizontal="right" vertical="center"/>
    </xf>
    <xf numFmtId="3" fontId="9" fillId="0" borderId="59" xfId="0" applyNumberFormat="1" applyFont="1" applyBorder="1" applyAlignment="1">
      <alignment horizontal="right" vertical="center"/>
    </xf>
    <xf numFmtId="3" fontId="4" fillId="0" borderId="58" xfId="0" applyNumberFormat="1" applyFont="1" applyBorder="1" applyAlignment="1">
      <alignment horizontal="right" vertical="center"/>
    </xf>
    <xf numFmtId="3" fontId="4" fillId="0" borderId="99" xfId="0" applyNumberFormat="1" applyFont="1" applyBorder="1" applyAlignment="1">
      <alignment horizontal="right" vertical="center"/>
    </xf>
    <xf numFmtId="3" fontId="4" fillId="0" borderId="91" xfId="0" applyNumberFormat="1" applyFont="1" applyBorder="1" applyAlignment="1">
      <alignment horizontal="right" vertical="center"/>
    </xf>
    <xf numFmtId="164" fontId="21" fillId="0" borderId="10" xfId="0" applyNumberFormat="1" applyFont="1" applyBorder="1" applyAlignment="1">
      <alignment horizontal="right" vertical="center"/>
    </xf>
    <xf numFmtId="3" fontId="21" fillId="0" borderId="11" xfId="0" applyNumberFormat="1" applyFont="1" applyBorder="1" applyAlignment="1">
      <alignment horizontal="right" vertical="center"/>
    </xf>
    <xf numFmtId="3" fontId="21" fillId="0" borderId="30" xfId="0" applyNumberFormat="1" applyFont="1" applyBorder="1" applyAlignment="1">
      <alignment horizontal="right" vertical="center"/>
    </xf>
    <xf numFmtId="3" fontId="21" fillId="0" borderId="10" xfId="0" applyNumberFormat="1" applyFont="1" applyBorder="1" applyAlignment="1">
      <alignment horizontal="right" vertical="center"/>
    </xf>
    <xf numFmtId="3" fontId="21" fillId="0" borderId="12" xfId="0" applyNumberFormat="1" applyFont="1" applyBorder="1" applyAlignment="1">
      <alignment horizontal="right" vertical="center"/>
    </xf>
    <xf numFmtId="3" fontId="21" fillId="0" borderId="9" xfId="0" applyNumberFormat="1" applyFont="1" applyBorder="1" applyAlignment="1">
      <alignment horizontal="right" vertical="center"/>
    </xf>
    <xf numFmtId="3" fontId="21" fillId="0" borderId="13" xfId="0" applyNumberFormat="1" applyFont="1" applyBorder="1" applyAlignment="1">
      <alignment horizontal="right" vertical="center"/>
    </xf>
    <xf numFmtId="164" fontId="21" fillId="0" borderId="82" xfId="0" applyNumberFormat="1" applyFont="1" applyBorder="1" applyAlignment="1">
      <alignment horizontal="right" vertical="center"/>
    </xf>
    <xf numFmtId="3" fontId="21" fillId="0" borderId="83" xfId="0" applyNumberFormat="1" applyFont="1" applyBorder="1" applyAlignment="1">
      <alignment horizontal="right" vertical="center"/>
    </xf>
    <xf numFmtId="3" fontId="21" fillId="0" borderId="84" xfId="0" applyNumberFormat="1" applyFont="1" applyBorder="1" applyAlignment="1">
      <alignment horizontal="right" vertical="center"/>
    </xf>
    <xf numFmtId="3" fontId="21" fillId="0" borderId="82" xfId="0" applyNumberFormat="1" applyFont="1" applyBorder="1" applyAlignment="1">
      <alignment horizontal="right" vertical="center"/>
    </xf>
    <xf numFmtId="3" fontId="21" fillId="0" borderId="17" xfId="0" applyNumberFormat="1" applyFont="1" applyBorder="1" applyAlignment="1">
      <alignment horizontal="right" vertical="center"/>
    </xf>
    <xf numFmtId="164" fontId="21" fillId="0" borderId="6" xfId="0" applyNumberFormat="1" applyFont="1" applyBorder="1" applyAlignment="1">
      <alignment horizontal="right" vertical="center"/>
    </xf>
    <xf numFmtId="3" fontId="21" fillId="0" borderId="7" xfId="0" applyNumberFormat="1" applyFont="1" applyBorder="1" applyAlignment="1">
      <alignment horizontal="right" vertical="center"/>
    </xf>
    <xf numFmtId="3" fontId="21" fillId="0" borderId="35" xfId="0" applyNumberFormat="1" applyFont="1" applyBorder="1" applyAlignment="1">
      <alignment horizontal="right" vertical="center"/>
    </xf>
    <xf numFmtId="3" fontId="21" fillId="0" borderId="6" xfId="0" applyNumberFormat="1" applyFont="1" applyBorder="1" applyAlignment="1">
      <alignment horizontal="right" vertical="center"/>
    </xf>
    <xf numFmtId="3" fontId="21" fillId="0" borderId="8" xfId="0" applyNumberFormat="1" applyFont="1" applyBorder="1" applyAlignment="1">
      <alignment horizontal="right" vertical="center"/>
    </xf>
    <xf numFmtId="3" fontId="21" fillId="0" borderId="16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3" fontId="4" fillId="0" borderId="59" xfId="0" applyNumberFormat="1" applyFont="1" applyBorder="1" applyAlignment="1">
      <alignment horizontal="right" vertical="center"/>
    </xf>
    <xf numFmtId="3" fontId="21" fillId="0" borderId="73" xfId="0" applyNumberFormat="1" applyFont="1" applyBorder="1" applyAlignment="1">
      <alignment horizontal="right" vertical="center"/>
    </xf>
    <xf numFmtId="164" fontId="21" fillId="0" borderId="14" xfId="0" applyNumberFormat="1" applyFont="1" applyBorder="1" applyAlignment="1">
      <alignment horizontal="right" vertical="center"/>
    </xf>
    <xf numFmtId="3" fontId="21" fillId="0" borderId="15" xfId="0" applyNumberFormat="1" applyFont="1" applyBorder="1" applyAlignment="1">
      <alignment horizontal="right" vertical="center"/>
    </xf>
    <xf numFmtId="3" fontId="21" fillId="0" borderId="33" xfId="0" applyNumberFormat="1" applyFont="1" applyBorder="1" applyAlignment="1">
      <alignment horizontal="right" vertical="center"/>
    </xf>
    <xf numFmtId="3" fontId="21" fillId="0" borderId="14" xfId="0" applyNumberFormat="1" applyFont="1" applyBorder="1" applyAlignment="1">
      <alignment horizontal="right" vertical="center"/>
    </xf>
    <xf numFmtId="3" fontId="21" fillId="0" borderId="22" xfId="0" applyNumberFormat="1" applyFont="1" applyBorder="1" applyAlignment="1">
      <alignment horizontal="right" vertical="center"/>
    </xf>
    <xf numFmtId="164" fontId="4" fillId="0" borderId="62" xfId="0" applyNumberFormat="1" applyFont="1" applyBorder="1" applyAlignment="1">
      <alignment horizontal="right" vertical="center"/>
    </xf>
    <xf numFmtId="3" fontId="4" fillId="0" borderId="63" xfId="0" applyNumberFormat="1" applyFont="1" applyBorder="1" applyAlignment="1">
      <alignment horizontal="right" vertical="center" wrapText="1"/>
    </xf>
    <xf numFmtId="3" fontId="4" fillId="0" borderId="30" xfId="0" applyNumberFormat="1" applyFont="1" applyBorder="1" applyAlignment="1">
      <alignment horizontal="right" vertical="center"/>
    </xf>
    <xf numFmtId="3" fontId="4" fillId="0" borderId="89" xfId="0" applyNumberFormat="1" applyFont="1" applyBorder="1" applyAlignment="1">
      <alignment horizontal="right" vertical="center" wrapText="1"/>
    </xf>
    <xf numFmtId="3" fontId="4" fillId="0" borderId="90" xfId="0" applyNumberFormat="1" applyFont="1" applyBorder="1" applyAlignment="1">
      <alignment horizontal="right" vertical="center" wrapText="1"/>
    </xf>
    <xf numFmtId="3" fontId="4" fillId="0" borderId="94" xfId="0" applyNumberFormat="1" applyFont="1" applyBorder="1" applyAlignment="1">
      <alignment horizontal="right" vertical="center" wrapText="1"/>
    </xf>
    <xf numFmtId="3" fontId="4" fillId="0" borderId="88" xfId="0" applyNumberFormat="1" applyFont="1" applyBorder="1" applyAlignment="1">
      <alignment horizontal="right" vertical="center" wrapText="1"/>
    </xf>
    <xf numFmtId="164" fontId="4" fillId="0" borderId="64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 wrapText="1"/>
    </xf>
    <xf numFmtId="3" fontId="4" fillId="0" borderId="33" xfId="0" applyNumberFormat="1" applyFont="1" applyBorder="1" applyAlignment="1">
      <alignment horizontal="right" vertical="center" wrapText="1"/>
    </xf>
    <xf numFmtId="3" fontId="4" fillId="0" borderId="22" xfId="0" applyNumberFormat="1" applyFont="1" applyBorder="1" applyAlignment="1">
      <alignment horizontal="right" vertical="center" wrapText="1"/>
    </xf>
    <xf numFmtId="164" fontId="4" fillId="0" borderId="14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3" fontId="4" fillId="0" borderId="65" xfId="0" applyNumberFormat="1" applyFont="1" applyBorder="1" applyAlignment="1">
      <alignment horizontal="right" vertical="center" wrapText="1"/>
    </xf>
    <xf numFmtId="3" fontId="4" fillId="0" borderId="52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 wrapText="1"/>
    </xf>
    <xf numFmtId="3" fontId="4" fillId="0" borderId="7" xfId="0" applyNumberFormat="1" applyFont="1" applyBorder="1" applyAlignment="1">
      <alignment horizontal="right" vertical="center" wrapText="1"/>
    </xf>
    <xf numFmtId="3" fontId="4" fillId="0" borderId="35" xfId="0" applyNumberFormat="1" applyFont="1" applyBorder="1" applyAlignment="1">
      <alignment horizontal="right" vertical="center" wrapText="1"/>
    </xf>
    <xf numFmtId="3" fontId="4" fillId="0" borderId="8" xfId="0" applyNumberFormat="1" applyFont="1" applyBorder="1" applyAlignment="1">
      <alignment horizontal="right" vertical="center" wrapText="1"/>
    </xf>
    <xf numFmtId="3" fontId="21" fillId="0" borderId="88" xfId="0" applyNumberFormat="1" applyFont="1" applyBorder="1" applyAlignment="1">
      <alignment horizontal="right" vertical="center"/>
    </xf>
    <xf numFmtId="164" fontId="21" fillId="0" borderId="68" xfId="0" applyNumberFormat="1" applyFont="1" applyBorder="1" applyAlignment="1">
      <alignment horizontal="right" vertical="center"/>
    </xf>
    <xf numFmtId="3" fontId="21" fillId="0" borderId="68" xfId="0" applyNumberFormat="1" applyFont="1" applyBorder="1" applyAlignment="1">
      <alignment horizontal="right" vertical="center"/>
    </xf>
    <xf numFmtId="3" fontId="21" fillId="0" borderId="69" xfId="0" applyNumberFormat="1" applyFont="1" applyBorder="1" applyAlignment="1">
      <alignment horizontal="right" vertical="center"/>
    </xf>
    <xf numFmtId="3" fontId="21" fillId="0" borderId="86" xfId="0" applyNumberFormat="1" applyFont="1" applyBorder="1" applyAlignment="1">
      <alignment horizontal="right" vertical="center"/>
    </xf>
    <xf numFmtId="3" fontId="21" fillId="0" borderId="71" xfId="0" applyNumberFormat="1" applyFont="1" applyBorder="1" applyAlignment="1">
      <alignment horizontal="right" vertical="center"/>
    </xf>
    <xf numFmtId="3" fontId="21" fillId="0" borderId="70" xfId="0" applyNumberFormat="1" applyFont="1" applyBorder="1" applyAlignment="1">
      <alignment horizontal="right" vertical="center"/>
    </xf>
    <xf numFmtId="3" fontId="21" fillId="0" borderId="95" xfId="0" applyNumberFormat="1" applyFont="1" applyBorder="1" applyAlignment="1">
      <alignment horizontal="right" vertical="center"/>
    </xf>
    <xf numFmtId="3" fontId="4" fillId="0" borderId="75" xfId="0" applyNumberFormat="1" applyFont="1" applyBorder="1" applyAlignment="1">
      <alignment horizontal="right" vertical="center"/>
    </xf>
    <xf numFmtId="3" fontId="4" fillId="0" borderId="37" xfId="0" applyNumberFormat="1" applyFont="1" applyBorder="1" applyAlignment="1">
      <alignment horizontal="right" vertical="center"/>
    </xf>
    <xf numFmtId="3" fontId="4" fillId="0" borderId="72" xfId="0" applyNumberFormat="1" applyFont="1" applyBorder="1" applyAlignment="1">
      <alignment horizontal="right" vertical="center"/>
    </xf>
    <xf numFmtId="3" fontId="4" fillId="0" borderId="38" xfId="0" applyNumberFormat="1" applyFont="1" applyBorder="1" applyAlignment="1">
      <alignment horizontal="right" vertical="center"/>
    </xf>
    <xf numFmtId="164" fontId="21" fillId="0" borderId="62" xfId="0" applyNumberFormat="1" applyFont="1" applyBorder="1" applyAlignment="1">
      <alignment horizontal="right" vertical="center"/>
    </xf>
    <xf numFmtId="3" fontId="21" fillId="0" borderId="63" xfId="0" applyNumberFormat="1" applyFont="1" applyBorder="1" applyAlignment="1">
      <alignment horizontal="right" vertical="center" wrapText="1"/>
    </xf>
    <xf numFmtId="3" fontId="21" fillId="0" borderId="29" xfId="0" applyNumberFormat="1" applyFont="1" applyBorder="1" applyAlignment="1">
      <alignment horizontal="right" vertical="center"/>
    </xf>
    <xf numFmtId="164" fontId="21" fillId="0" borderId="64" xfId="0" applyNumberFormat="1" applyFont="1" applyBorder="1" applyAlignment="1">
      <alignment horizontal="right" vertical="center"/>
    </xf>
    <xf numFmtId="3" fontId="21" fillId="0" borderId="32" xfId="0" applyNumberFormat="1" applyFont="1" applyBorder="1" applyAlignment="1">
      <alignment horizontal="right" vertical="center"/>
    </xf>
    <xf numFmtId="3" fontId="21" fillId="0" borderId="65" xfId="0" applyNumberFormat="1" applyFont="1" applyBorder="1" applyAlignment="1">
      <alignment horizontal="right" vertical="center" wrapText="1"/>
    </xf>
    <xf numFmtId="3" fontId="21" fillId="0" borderId="57" xfId="0" applyNumberFormat="1" applyFont="1" applyBorder="1" applyAlignment="1">
      <alignment horizontal="right" vertical="center"/>
    </xf>
    <xf numFmtId="3" fontId="21" fillId="0" borderId="28" xfId="0" applyNumberFormat="1" applyFont="1" applyBorder="1" applyAlignment="1">
      <alignment horizontal="right" vertical="center"/>
    </xf>
    <xf numFmtId="164" fontId="21" fillId="0" borderId="53" xfId="0" applyNumberFormat="1" applyFont="1" applyBorder="1" applyAlignment="1">
      <alignment horizontal="right" vertical="center"/>
    </xf>
    <xf numFmtId="164" fontId="21" fillId="0" borderId="55" xfId="0" applyNumberFormat="1" applyFont="1" applyBorder="1" applyAlignment="1">
      <alignment horizontal="right" vertical="center"/>
    </xf>
    <xf numFmtId="164" fontId="21" fillId="0" borderId="60" xfId="0" applyNumberFormat="1" applyFont="1" applyBorder="1" applyAlignment="1">
      <alignment horizontal="right" vertical="center"/>
    </xf>
    <xf numFmtId="164" fontId="21" fillId="0" borderId="56" xfId="0" applyNumberFormat="1" applyFont="1" applyBorder="1" applyAlignment="1">
      <alignment horizontal="right" vertical="center"/>
    </xf>
    <xf numFmtId="3" fontId="21" fillId="0" borderId="51" xfId="0" applyNumberFormat="1" applyFont="1" applyBorder="1" applyAlignment="1">
      <alignment horizontal="right" vertical="center"/>
    </xf>
    <xf numFmtId="3" fontId="21" fillId="0" borderId="52" xfId="0" applyNumberFormat="1" applyFont="1" applyBorder="1" applyAlignment="1">
      <alignment horizontal="right" vertical="center"/>
    </xf>
    <xf numFmtId="164" fontId="8" fillId="0" borderId="10" xfId="0" applyNumberFormat="1" applyFont="1" applyBorder="1" applyAlignment="1">
      <alignment vertical="center"/>
    </xf>
    <xf numFmtId="164" fontId="4" fillId="0" borderId="55" xfId="0" applyNumberFormat="1" applyFont="1" applyBorder="1" applyAlignment="1">
      <alignment vertical="center"/>
    </xf>
    <xf numFmtId="164" fontId="21" fillId="0" borderId="45" xfId="0" applyNumberFormat="1" applyFont="1" applyBorder="1" applyAlignment="1">
      <alignment vertical="center"/>
    </xf>
    <xf numFmtId="165" fontId="0" fillId="0" borderId="0" xfId="0" applyNumberForma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0" fillId="6" borderId="45" xfId="0" applyFont="1" applyFill="1" applyBorder="1" applyAlignment="1">
      <alignment horizontal="center" vertical="center"/>
    </xf>
    <xf numFmtId="0" fontId="20" fillId="6" borderId="46" xfId="0" applyFont="1" applyFill="1" applyBorder="1" applyAlignment="1">
      <alignment horizontal="center" vertical="center"/>
    </xf>
    <xf numFmtId="0" fontId="20" fillId="6" borderId="47" xfId="0" applyFont="1" applyFill="1" applyBorder="1" applyAlignment="1">
      <alignment horizontal="center" vertical="center"/>
    </xf>
    <xf numFmtId="164" fontId="8" fillId="0" borderId="82" xfId="0" applyNumberFormat="1" applyFont="1" applyBorder="1" applyAlignment="1">
      <alignment vertical="center"/>
    </xf>
    <xf numFmtId="3" fontId="8" fillId="0" borderId="101" xfId="0" applyNumberFormat="1" applyFont="1" applyFill="1" applyBorder="1" applyAlignment="1">
      <alignment vertical="center"/>
    </xf>
    <xf numFmtId="3" fontId="8" fillId="0" borderId="85" xfId="0" applyNumberFormat="1" applyFont="1" applyFill="1" applyBorder="1" applyAlignment="1">
      <alignment vertical="center"/>
    </xf>
    <xf numFmtId="164" fontId="8" fillId="0" borderId="41" xfId="0" applyNumberFormat="1" applyFont="1" applyBorder="1" applyAlignment="1">
      <alignment vertical="center"/>
    </xf>
    <xf numFmtId="3" fontId="8" fillId="0" borderId="102" xfId="0" applyNumberFormat="1" applyFont="1" applyFill="1" applyBorder="1" applyAlignment="1">
      <alignment vertical="center"/>
    </xf>
    <xf numFmtId="3" fontId="8" fillId="0" borderId="47" xfId="0" applyNumberFormat="1" applyFont="1" applyFill="1" applyBorder="1" applyAlignment="1">
      <alignment vertical="center"/>
    </xf>
    <xf numFmtId="0" fontId="8" fillId="0" borderId="61" xfId="0" applyFont="1" applyBorder="1" applyAlignment="1">
      <alignment vertical="center"/>
    </xf>
    <xf numFmtId="0" fontId="8" fillId="0" borderId="74" xfId="0" applyFont="1" applyBorder="1" applyAlignment="1">
      <alignment vertical="center"/>
    </xf>
    <xf numFmtId="164" fontId="20" fillId="0" borderId="2" xfId="0" applyNumberFormat="1" applyFont="1" applyBorder="1" applyAlignment="1">
      <alignment vertical="center"/>
    </xf>
    <xf numFmtId="3" fontId="20" fillId="0" borderId="4" xfId="0" applyNumberFormat="1" applyFont="1" applyBorder="1" applyAlignment="1">
      <alignment vertical="center"/>
    </xf>
    <xf numFmtId="164" fontId="20" fillId="0" borderId="10" xfId="0" applyNumberFormat="1" applyFont="1" applyBorder="1" applyAlignment="1">
      <alignment vertical="center"/>
    </xf>
    <xf numFmtId="3" fontId="20" fillId="0" borderId="3" xfId="0" applyNumberFormat="1" applyFont="1" applyBorder="1" applyAlignment="1">
      <alignment vertical="center"/>
    </xf>
    <xf numFmtId="164" fontId="20" fillId="0" borderId="14" xfId="0" applyNumberFormat="1" applyFont="1" applyBorder="1" applyAlignment="1">
      <alignment vertical="center"/>
    </xf>
    <xf numFmtId="3" fontId="20" fillId="0" borderId="15" xfId="0" applyNumberFormat="1" applyFont="1" applyBorder="1" applyAlignment="1">
      <alignment vertical="center"/>
    </xf>
    <xf numFmtId="3" fontId="20" fillId="0" borderId="22" xfId="0" applyNumberFormat="1" applyFont="1" applyBorder="1" applyAlignment="1">
      <alignment vertical="center"/>
    </xf>
    <xf numFmtId="164" fontId="20" fillId="0" borderId="68" xfId="0" applyNumberFormat="1" applyFont="1" applyBorder="1" applyAlignment="1">
      <alignment vertical="center"/>
    </xf>
    <xf numFmtId="164" fontId="20" fillId="0" borderId="41" xfId="0" applyNumberFormat="1" applyFont="1" applyBorder="1" applyAlignment="1">
      <alignment vertical="center"/>
    </xf>
    <xf numFmtId="3" fontId="20" fillId="0" borderId="76" xfId="0" applyNumberFormat="1" applyFont="1" applyBorder="1" applyAlignment="1">
      <alignment vertical="center"/>
    </xf>
    <xf numFmtId="3" fontId="20" fillId="0" borderId="80" xfId="0" applyNumberFormat="1" applyFont="1" applyBorder="1" applyAlignment="1">
      <alignment vertical="center"/>
    </xf>
    <xf numFmtId="3" fontId="20" fillId="0" borderId="42" xfId="0" applyNumberFormat="1" applyFont="1" applyBorder="1" applyAlignment="1">
      <alignment vertical="center"/>
    </xf>
    <xf numFmtId="0" fontId="4" fillId="0" borderId="61" xfId="0" applyFont="1" applyBorder="1" applyAlignment="1">
      <alignment vertical="center"/>
    </xf>
    <xf numFmtId="164" fontId="21" fillId="0" borderId="2" xfId="0" applyNumberFormat="1" applyFont="1" applyBorder="1" applyAlignment="1">
      <alignment vertical="center"/>
    </xf>
    <xf numFmtId="3" fontId="21" fillId="0" borderId="67" xfId="0" applyNumberFormat="1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164" fontId="21" fillId="0" borderId="10" xfId="0" applyNumberFormat="1" applyFont="1" applyBorder="1" applyAlignment="1">
      <alignment vertical="center"/>
    </xf>
    <xf numFmtId="3" fontId="21" fillId="0" borderId="11" xfId="0" applyNumberFormat="1" applyFont="1" applyBorder="1" applyAlignment="1">
      <alignment horizontal="right" vertical="center" wrapText="1"/>
    </xf>
    <xf numFmtId="3" fontId="21" fillId="0" borderId="3" xfId="0" applyNumberFormat="1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164" fontId="21" fillId="0" borderId="40" xfId="0" applyNumberFormat="1" applyFont="1" applyBorder="1" applyAlignment="1">
      <alignment vertical="center"/>
    </xf>
    <xf numFmtId="3" fontId="21" fillId="0" borderId="24" xfId="0" applyNumberFormat="1" applyFont="1" applyBorder="1" applyAlignment="1">
      <alignment vertical="center"/>
    </xf>
    <xf numFmtId="3" fontId="21" fillId="0" borderId="25" xfId="0" applyNumberFormat="1" applyFont="1" applyBorder="1" applyAlignment="1">
      <alignment vertical="center"/>
    </xf>
    <xf numFmtId="0" fontId="4" fillId="0" borderId="74" xfId="0" applyFont="1" applyBorder="1" applyAlignment="1">
      <alignment vertical="center"/>
    </xf>
    <xf numFmtId="3" fontId="21" fillId="0" borderId="47" xfId="0" applyNumberFormat="1" applyFont="1" applyBorder="1" applyAlignment="1">
      <alignment vertical="center"/>
    </xf>
    <xf numFmtId="3" fontId="21" fillId="0" borderId="76" xfId="0" applyNumberFormat="1" applyFont="1" applyBorder="1" applyAlignment="1">
      <alignment horizontal="right" vertical="center"/>
    </xf>
    <xf numFmtId="3" fontId="21" fillId="0" borderId="42" xfId="0" applyNumberFormat="1" applyFont="1" applyBorder="1" applyAlignment="1">
      <alignment horizontal="right" vertical="center"/>
    </xf>
    <xf numFmtId="3" fontId="21" fillId="0" borderId="80" xfId="0" applyNumberFormat="1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0" fontId="8" fillId="0" borderId="39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3" fontId="20" fillId="0" borderId="12" xfId="0" applyNumberFormat="1" applyFont="1" applyBorder="1" applyAlignment="1">
      <alignment vertical="center"/>
    </xf>
    <xf numFmtId="0" fontId="8" fillId="0" borderId="60" xfId="0" applyFont="1" applyBorder="1" applyAlignment="1">
      <alignment vertical="center"/>
    </xf>
    <xf numFmtId="3" fontId="20" fillId="0" borderId="70" xfId="0" applyNumberFormat="1" applyFont="1" applyBorder="1" applyAlignment="1">
      <alignment vertical="center"/>
    </xf>
    <xf numFmtId="3" fontId="20" fillId="0" borderId="71" xfId="0" applyNumberFormat="1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3" fontId="20" fillId="0" borderId="74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3" fontId="21" fillId="5" borderId="42" xfId="0" applyNumberFormat="1" applyFont="1" applyFill="1" applyBorder="1" applyAlignment="1">
      <alignment vertical="center"/>
    </xf>
    <xf numFmtId="164" fontId="20" fillId="0" borderId="29" xfId="0" applyNumberFormat="1" applyFont="1" applyBorder="1" applyAlignment="1">
      <alignment vertical="center"/>
    </xf>
    <xf numFmtId="3" fontId="20" fillId="0" borderId="11" xfId="0" applyNumberFormat="1" applyFont="1" applyBorder="1" applyAlignment="1">
      <alignment vertical="center"/>
    </xf>
    <xf numFmtId="3" fontId="20" fillId="0" borderId="30" xfId="0" applyNumberFormat="1" applyFont="1" applyBorder="1" applyAlignment="1">
      <alignment vertical="center"/>
    </xf>
    <xf numFmtId="164" fontId="20" fillId="0" borderId="10" xfId="0" applyNumberFormat="1" applyFont="1" applyBorder="1" applyAlignment="1">
      <alignment horizontal="right" vertical="center"/>
    </xf>
    <xf numFmtId="3" fontId="20" fillId="0" borderId="11" xfId="0" applyNumberFormat="1" applyFont="1" applyBorder="1" applyAlignment="1">
      <alignment horizontal="right"/>
    </xf>
    <xf numFmtId="164" fontId="20" fillId="0" borderId="32" xfId="0" applyNumberFormat="1" applyFont="1" applyBorder="1" applyAlignment="1">
      <alignment vertical="center"/>
    </xf>
    <xf numFmtId="164" fontId="20" fillId="0" borderId="14" xfId="0" applyNumberFormat="1" applyFont="1" applyBorder="1" applyAlignment="1">
      <alignment horizontal="right" vertical="center"/>
    </xf>
    <xf numFmtId="3" fontId="20" fillId="0" borderId="15" xfId="0" applyNumberFormat="1" applyFont="1" applyBorder="1" applyAlignment="1">
      <alignment horizontal="right"/>
    </xf>
    <xf numFmtId="164" fontId="20" fillId="0" borderId="32" xfId="0" applyNumberFormat="1" applyFont="1" applyBorder="1" applyAlignment="1">
      <alignment horizontal="right"/>
    </xf>
    <xf numFmtId="164" fontId="20" fillId="0" borderId="14" xfId="0" applyNumberFormat="1" applyFont="1" applyBorder="1" applyAlignment="1">
      <alignment horizontal="right"/>
    </xf>
    <xf numFmtId="164" fontId="20" fillId="0" borderId="69" xfId="0" applyNumberFormat="1" applyFont="1" applyBorder="1" applyAlignment="1">
      <alignment vertical="center"/>
    </xf>
    <xf numFmtId="3" fontId="20" fillId="0" borderId="84" xfId="0" applyNumberFormat="1" applyFont="1" applyBorder="1" applyAlignment="1">
      <alignment vertical="center"/>
    </xf>
    <xf numFmtId="164" fontId="20" fillId="0" borderId="68" xfId="0" applyNumberFormat="1" applyFont="1" applyBorder="1" applyAlignment="1">
      <alignment horizontal="right" vertical="center"/>
    </xf>
    <xf numFmtId="3" fontId="20" fillId="0" borderId="70" xfId="0" applyNumberFormat="1" applyFont="1" applyBorder="1" applyAlignment="1">
      <alignment horizontal="right"/>
    </xf>
    <xf numFmtId="3" fontId="20" fillId="0" borderId="17" xfId="0" applyNumberFormat="1" applyFont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164" fontId="20" fillId="5" borderId="41" xfId="0" applyNumberFormat="1" applyFont="1" applyFill="1" applyBorder="1" applyAlignment="1">
      <alignment vertical="center"/>
    </xf>
    <xf numFmtId="3" fontId="20" fillId="5" borderId="76" xfId="0" applyNumberFormat="1" applyFont="1" applyFill="1" applyBorder="1" applyAlignment="1">
      <alignment vertical="center"/>
    </xf>
    <xf numFmtId="3" fontId="20" fillId="5" borderId="42" xfId="0" applyNumberFormat="1" applyFont="1" applyFill="1" applyBorder="1" applyAlignment="1">
      <alignment vertical="center"/>
    </xf>
    <xf numFmtId="164" fontId="20" fillId="6" borderId="41" xfId="0" applyNumberFormat="1" applyFont="1" applyFill="1" applyBorder="1" applyAlignment="1">
      <alignment vertical="center"/>
    </xf>
    <xf numFmtId="3" fontId="20" fillId="6" borderId="76" xfId="0" applyNumberFormat="1" applyFont="1" applyFill="1" applyBorder="1" applyAlignment="1">
      <alignment vertical="center"/>
    </xf>
    <xf numFmtId="3" fontId="20" fillId="6" borderId="47" xfId="0" applyNumberFormat="1" applyFont="1" applyFill="1" applyBorder="1" applyAlignment="1">
      <alignment vertical="center"/>
    </xf>
    <xf numFmtId="0" fontId="21" fillId="0" borderId="41" xfId="0" applyFont="1" applyBorder="1" applyAlignment="1">
      <alignment horizontal="center" vertical="center" wrapText="1"/>
    </xf>
    <xf numFmtId="0" fontId="21" fillId="0" borderId="76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66" xfId="0" applyFont="1" applyBorder="1" applyAlignment="1">
      <alignment horizontal="center" vertical="center" wrapText="1"/>
    </xf>
    <xf numFmtId="0" fontId="4" fillId="0" borderId="62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45" xfId="0" applyNumberFormat="1" applyFont="1" applyFill="1" applyBorder="1" applyAlignment="1">
      <alignment horizontal="center" vertical="center"/>
    </xf>
    <xf numFmtId="1" fontId="3" fillId="0" borderId="47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1" fontId="3" fillId="0" borderId="41" xfId="0" applyNumberFormat="1" applyFont="1" applyFill="1" applyBorder="1" applyAlignment="1">
      <alignment horizontal="center" vertical="center"/>
    </xf>
    <xf numFmtId="1" fontId="3" fillId="0" borderId="42" xfId="0" applyNumberFormat="1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164" fontId="4" fillId="0" borderId="49" xfId="0" applyNumberFormat="1" applyFont="1" applyBorder="1" applyAlignment="1">
      <alignment horizontal="center" vertical="center" wrapText="1"/>
    </xf>
    <xf numFmtId="164" fontId="4" fillId="0" borderId="51" xfId="0" applyNumberFormat="1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4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66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73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0" xfId="0" applyFont="1" applyBorder="1" applyAlignment="1">
      <alignment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24" xfId="0" applyFont="1" applyBorder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25" xfId="0" applyFont="1" applyBorder="1" applyAlignment="1">
      <alignment vertical="center"/>
    </xf>
    <xf numFmtId="0" fontId="14" fillId="4" borderId="45" xfId="0" applyFont="1" applyFill="1" applyBorder="1" applyAlignment="1">
      <alignment horizontal="center" vertical="center"/>
    </xf>
    <xf numFmtId="0" fontId="14" fillId="4" borderId="46" xfId="0" applyFont="1" applyFill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8" fillId="0" borderId="77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4" fillId="7" borderId="45" xfId="0" applyFont="1" applyFill="1" applyBorder="1" applyAlignment="1">
      <alignment horizontal="center" vertical="center"/>
    </xf>
    <xf numFmtId="0" fontId="14" fillId="7" borderId="46" xfId="0" applyFont="1" applyFill="1" applyBorder="1" applyAlignment="1">
      <alignment horizontal="center" vertical="center"/>
    </xf>
    <xf numFmtId="0" fontId="20" fillId="6" borderId="45" xfId="0" applyFont="1" applyFill="1" applyBorder="1" applyAlignment="1">
      <alignment horizontal="center" vertical="center"/>
    </xf>
    <xf numFmtId="0" fontId="20" fillId="6" borderId="46" xfId="0" applyFont="1" applyFill="1" applyBorder="1" applyAlignment="1">
      <alignment horizontal="center" vertical="center"/>
    </xf>
    <xf numFmtId="0" fontId="20" fillId="6" borderId="47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20" fillId="5" borderId="18" xfId="0" applyFont="1" applyFill="1" applyBorder="1" applyAlignment="1">
      <alignment vertical="center"/>
    </xf>
    <xf numFmtId="0" fontId="20" fillId="0" borderId="45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66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20" fillId="0" borderId="100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24" xfId="0" applyFont="1" applyBorder="1" applyAlignment="1">
      <alignment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25" xfId="0" applyFont="1" applyBorder="1" applyAlignment="1">
      <alignment vertical="center"/>
    </xf>
    <xf numFmtId="0" fontId="14" fillId="7" borderId="47" xfId="0" applyFont="1" applyFill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21" fillId="6" borderId="45" xfId="0" applyFont="1" applyFill="1" applyBorder="1" applyAlignment="1">
      <alignment horizontal="center" vertical="center"/>
    </xf>
    <xf numFmtId="0" fontId="21" fillId="6" borderId="46" xfId="0" applyFont="1" applyFill="1" applyBorder="1" applyAlignment="1">
      <alignment horizontal="center" vertical="center"/>
    </xf>
    <xf numFmtId="0" fontId="21" fillId="6" borderId="47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21" fillId="5" borderId="18" xfId="0" applyFont="1" applyFill="1" applyBorder="1" applyAlignment="1">
      <alignment vertical="center"/>
    </xf>
    <xf numFmtId="0" fontId="4" fillId="5" borderId="77" xfId="0" applyFont="1" applyFill="1" applyBorder="1" applyAlignment="1">
      <alignment horizontal="center" vertical="center"/>
    </xf>
    <xf numFmtId="0" fontId="4" fillId="5" borderId="78" xfId="0" applyFont="1" applyFill="1" applyBorder="1" applyAlignment="1">
      <alignment horizontal="center" vertical="center"/>
    </xf>
    <xf numFmtId="0" fontId="4" fillId="5" borderId="79" xfId="0" applyFon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Q30"/>
  <sheetViews>
    <sheetView zoomScaleNormal="100" workbookViewId="0">
      <selection activeCell="Q9" sqref="Q9"/>
    </sheetView>
  </sheetViews>
  <sheetFormatPr defaultColWidth="9.140625" defaultRowHeight="15" x14ac:dyDescent="0.25"/>
  <cols>
    <col min="1" max="1" width="14.85546875" style="1" customWidth="1"/>
    <col min="2" max="2" width="8.42578125" style="1" customWidth="1"/>
    <col min="3" max="3" width="12" style="1" customWidth="1"/>
    <col min="4" max="4" width="9.5703125" style="1" customWidth="1"/>
    <col min="5" max="5" width="9.28515625" style="1" customWidth="1"/>
    <col min="6" max="6" width="10.5703125" style="1" customWidth="1"/>
    <col min="7" max="7" width="11.140625" style="1" customWidth="1"/>
    <col min="8" max="8" width="9.140625" style="1"/>
    <col min="9" max="9" width="13.5703125" style="1" customWidth="1"/>
    <col min="10" max="10" width="10.140625" style="1" customWidth="1"/>
    <col min="11" max="11" width="9.5703125" style="1" bestFit="1" customWidth="1"/>
    <col min="12" max="12" width="10.5703125" style="1" customWidth="1"/>
    <col min="13" max="13" width="12.42578125" style="1" customWidth="1"/>
    <col min="14" max="16384" width="9.140625" style="1"/>
  </cols>
  <sheetData>
    <row r="2" spans="1:17" x14ac:dyDescent="0.25">
      <c r="A2" s="3" t="s">
        <v>0</v>
      </c>
      <c r="C2" s="5"/>
      <c r="E2" s="4"/>
    </row>
    <row r="3" spans="1:17" x14ac:dyDescent="0.25">
      <c r="A3" s="145" t="s">
        <v>1</v>
      </c>
      <c r="B3" s="145"/>
      <c r="C3" s="145"/>
      <c r="D3" s="145"/>
      <c r="E3" s="145"/>
      <c r="F3" s="145"/>
      <c r="G3" s="145"/>
      <c r="H3" s="145"/>
    </row>
    <row r="4" spans="1:17" ht="15.75" thickBot="1" x14ac:dyDescent="0.3"/>
    <row r="5" spans="1:17" ht="15" customHeight="1" x14ac:dyDescent="0.25">
      <c r="A5" s="407" t="s">
        <v>2</v>
      </c>
      <c r="B5" s="409">
        <v>2019</v>
      </c>
      <c r="C5" s="410"/>
      <c r="D5" s="410"/>
      <c r="E5" s="410"/>
      <c r="F5" s="410"/>
      <c r="G5" s="411"/>
      <c r="H5" s="409">
        <v>2020</v>
      </c>
      <c r="I5" s="410"/>
      <c r="J5" s="410"/>
      <c r="K5" s="410"/>
      <c r="L5" s="410"/>
      <c r="M5" s="411"/>
    </row>
    <row r="6" spans="1:17" ht="34.5" thickBot="1" x14ac:dyDescent="0.3">
      <c r="A6" s="408"/>
      <c r="B6" s="7" t="s">
        <v>95</v>
      </c>
      <c r="C6" s="8" t="s">
        <v>3</v>
      </c>
      <c r="D6" s="8" t="s">
        <v>4</v>
      </c>
      <c r="E6" s="8" t="s">
        <v>5</v>
      </c>
      <c r="F6" s="8" t="s">
        <v>6</v>
      </c>
      <c r="G6" s="9" t="s">
        <v>7</v>
      </c>
      <c r="H6" s="7" t="s">
        <v>98</v>
      </c>
      <c r="I6" s="8" t="s">
        <v>3</v>
      </c>
      <c r="J6" s="8" t="s">
        <v>4</v>
      </c>
      <c r="K6" s="8" t="s">
        <v>5</v>
      </c>
      <c r="L6" s="8" t="s">
        <v>6</v>
      </c>
      <c r="M6" s="9" t="s">
        <v>7</v>
      </c>
    </row>
    <row r="7" spans="1:17" ht="15.75" thickTop="1" x14ac:dyDescent="0.25">
      <c r="A7" s="10" t="s">
        <v>93</v>
      </c>
      <c r="B7" s="11">
        <v>515</v>
      </c>
      <c r="C7" s="12">
        <v>86588184</v>
      </c>
      <c r="D7" s="13">
        <v>8828442</v>
      </c>
      <c r="E7" s="12">
        <v>9714699</v>
      </c>
      <c r="F7" s="12">
        <v>3802537</v>
      </c>
      <c r="G7" s="14">
        <f>C7+D7+E7+F7</f>
        <v>108933862</v>
      </c>
      <c r="H7" s="11">
        <v>547</v>
      </c>
      <c r="I7" s="12">
        <v>105848531</v>
      </c>
      <c r="J7" s="13">
        <v>8672800</v>
      </c>
      <c r="K7" s="12">
        <v>12499522.710000001</v>
      </c>
      <c r="L7" s="12">
        <v>560737</v>
      </c>
      <c r="M7" s="14">
        <f>I7+J7+K7+L7</f>
        <v>127581590.71000001</v>
      </c>
    </row>
    <row r="8" spans="1:17" x14ac:dyDescent="0.25">
      <c r="A8" s="15" t="s">
        <v>82</v>
      </c>
      <c r="B8" s="16">
        <v>9372</v>
      </c>
      <c r="C8" s="17">
        <v>737635649</v>
      </c>
      <c r="D8" s="18">
        <v>172116353.18000001</v>
      </c>
      <c r="E8" s="17">
        <v>40252110</v>
      </c>
      <c r="F8" s="17">
        <v>36476227.600000001</v>
      </c>
      <c r="G8" s="14">
        <f t="shared" ref="G8:G14" si="0">C8+D8+E8+F8</f>
        <v>986480339.78000009</v>
      </c>
      <c r="H8" s="16">
        <v>9504</v>
      </c>
      <c r="I8" s="17">
        <v>831936830</v>
      </c>
      <c r="J8" s="18">
        <v>263187490</v>
      </c>
      <c r="K8" s="17">
        <v>11520138.699999999</v>
      </c>
      <c r="L8" s="17">
        <v>12422923.560000001</v>
      </c>
      <c r="M8" s="14">
        <f t="shared" ref="M8:M14" si="1">I8+J8+K8+L8</f>
        <v>1119067382.26</v>
      </c>
    </row>
    <row r="9" spans="1:17" ht="14.45" customHeight="1" x14ac:dyDescent="0.25">
      <c r="A9" s="19" t="s">
        <v>11</v>
      </c>
      <c r="B9" s="16">
        <v>190</v>
      </c>
      <c r="C9" s="17">
        <v>82327768</v>
      </c>
      <c r="D9" s="18">
        <v>24209634.210000001</v>
      </c>
      <c r="E9" s="17">
        <v>7020979</v>
      </c>
      <c r="F9" s="17">
        <v>0</v>
      </c>
      <c r="G9" s="14">
        <f t="shared" si="0"/>
        <v>113558381.21000001</v>
      </c>
      <c r="H9" s="16">
        <v>193</v>
      </c>
      <c r="I9" s="17">
        <v>86766503</v>
      </c>
      <c r="J9" s="18">
        <v>21640600</v>
      </c>
      <c r="K9" s="17">
        <v>16197396</v>
      </c>
      <c r="L9" s="17">
        <v>6261226</v>
      </c>
      <c r="M9" s="14">
        <f t="shared" si="1"/>
        <v>130865725</v>
      </c>
      <c r="Q9" s="406"/>
    </row>
    <row r="10" spans="1:17" ht="14.45" customHeight="1" x14ac:dyDescent="0.25">
      <c r="A10" s="19" t="s">
        <v>12</v>
      </c>
      <c r="B10" s="16">
        <v>1003</v>
      </c>
      <c r="C10" s="17">
        <v>38501381</v>
      </c>
      <c r="D10" s="18">
        <v>10400770.720000001</v>
      </c>
      <c r="E10" s="17">
        <v>33052908</v>
      </c>
      <c r="F10" s="17">
        <v>0</v>
      </c>
      <c r="G10" s="14">
        <f t="shared" si="0"/>
        <v>81955059.719999999</v>
      </c>
      <c r="H10" s="16">
        <v>1007</v>
      </c>
      <c r="I10" s="17">
        <v>41093785</v>
      </c>
      <c r="J10" s="18">
        <v>7753500</v>
      </c>
      <c r="K10" s="17">
        <v>263348.5</v>
      </c>
      <c r="L10" s="17">
        <v>1354225</v>
      </c>
      <c r="M10" s="14">
        <f t="shared" si="1"/>
        <v>50464858.5</v>
      </c>
    </row>
    <row r="11" spans="1:17" x14ac:dyDescent="0.25">
      <c r="A11" s="19" t="s">
        <v>13</v>
      </c>
      <c r="B11" s="16">
        <v>90</v>
      </c>
      <c r="C11" s="17">
        <v>2826518</v>
      </c>
      <c r="D11" s="18">
        <v>197000</v>
      </c>
      <c r="E11" s="17">
        <v>25000</v>
      </c>
      <c r="F11" s="17">
        <v>0</v>
      </c>
      <c r="G11" s="14">
        <f t="shared" si="0"/>
        <v>3048518</v>
      </c>
      <c r="H11" s="16">
        <v>90</v>
      </c>
      <c r="I11" s="17">
        <v>2437208</v>
      </c>
      <c r="J11" s="18">
        <v>372621</v>
      </c>
      <c r="K11" s="17">
        <v>25000</v>
      </c>
      <c r="L11" s="17">
        <v>0</v>
      </c>
      <c r="M11" s="14">
        <f t="shared" si="1"/>
        <v>2834829</v>
      </c>
    </row>
    <row r="12" spans="1:17" ht="14.45" customHeight="1" x14ac:dyDescent="0.25">
      <c r="A12" s="19" t="s">
        <v>14</v>
      </c>
      <c r="B12" s="16">
        <v>6542</v>
      </c>
      <c r="C12" s="17">
        <v>19437564</v>
      </c>
      <c r="D12" s="18">
        <v>3184600</v>
      </c>
      <c r="E12" s="17">
        <v>5000000</v>
      </c>
      <c r="F12" s="17">
        <v>2819383</v>
      </c>
      <c r="G12" s="14">
        <f t="shared" si="0"/>
        <v>30441547</v>
      </c>
      <c r="H12" s="16">
        <v>6368</v>
      </c>
      <c r="I12" s="17">
        <v>24205565</v>
      </c>
      <c r="J12" s="18">
        <v>3183300</v>
      </c>
      <c r="K12" s="17">
        <v>350000</v>
      </c>
      <c r="L12" s="17">
        <v>123141</v>
      </c>
      <c r="M12" s="14">
        <f t="shared" si="1"/>
        <v>27862006</v>
      </c>
    </row>
    <row r="13" spans="1:17" ht="14.45" customHeight="1" x14ac:dyDescent="0.25">
      <c r="A13" s="19" t="s">
        <v>15</v>
      </c>
      <c r="B13" s="16">
        <v>0</v>
      </c>
      <c r="C13" s="17">
        <v>0</v>
      </c>
      <c r="D13" s="18">
        <v>0</v>
      </c>
      <c r="E13" s="17">
        <v>0</v>
      </c>
      <c r="F13" s="17">
        <v>0</v>
      </c>
      <c r="G13" s="14">
        <f t="shared" si="0"/>
        <v>0</v>
      </c>
      <c r="H13" s="16">
        <v>0</v>
      </c>
      <c r="I13" s="17">
        <v>0</v>
      </c>
      <c r="J13" s="18">
        <v>0</v>
      </c>
      <c r="K13" s="17">
        <v>0</v>
      </c>
      <c r="L13" s="17">
        <v>0</v>
      </c>
      <c r="M13" s="14">
        <f t="shared" si="1"/>
        <v>0</v>
      </c>
    </row>
    <row r="14" spans="1:17" ht="15.75" thickBot="1" x14ac:dyDescent="0.3">
      <c r="A14" s="20" t="s">
        <v>16</v>
      </c>
      <c r="B14" s="21">
        <v>3234</v>
      </c>
      <c r="C14" s="22">
        <v>0</v>
      </c>
      <c r="D14" s="22">
        <v>3431000</v>
      </c>
      <c r="E14" s="22">
        <v>1407000</v>
      </c>
      <c r="F14" s="22">
        <v>0</v>
      </c>
      <c r="G14" s="23">
        <f t="shared" si="0"/>
        <v>4838000</v>
      </c>
      <c r="H14" s="21">
        <v>3352</v>
      </c>
      <c r="I14" s="22">
        <v>0</v>
      </c>
      <c r="J14" s="22">
        <v>2881000</v>
      </c>
      <c r="K14" s="22">
        <v>0</v>
      </c>
      <c r="L14" s="22">
        <v>0</v>
      </c>
      <c r="M14" s="23">
        <f t="shared" si="1"/>
        <v>2881000</v>
      </c>
    </row>
    <row r="15" spans="1:17" ht="15.6" customHeight="1" thickTop="1" thickBot="1" x14ac:dyDescent="0.3">
      <c r="A15" s="24" t="s">
        <v>17</v>
      </c>
      <c r="B15" s="25">
        <f t="shared" ref="B15:F15" si="2">SUM(B7:B14)</f>
        <v>20946</v>
      </c>
      <c r="C15" s="26">
        <f t="shared" si="2"/>
        <v>967317064</v>
      </c>
      <c r="D15" s="27">
        <f t="shared" si="2"/>
        <v>222367800.11000001</v>
      </c>
      <c r="E15" s="28">
        <f>SUM(E7:E14)</f>
        <v>96472696</v>
      </c>
      <c r="F15" s="28">
        <f t="shared" si="2"/>
        <v>43098147.600000001</v>
      </c>
      <c r="G15" s="29">
        <f>SUM(C15:F15)</f>
        <v>1329255707.71</v>
      </c>
      <c r="H15" s="206">
        <f>SUM(H7:H14)</f>
        <v>21061</v>
      </c>
      <c r="I15" s="207">
        <f t="shared" ref="I15:L15" si="3">SUM(I7:I14)</f>
        <v>1092288422</v>
      </c>
      <c r="J15" s="207">
        <f t="shared" si="3"/>
        <v>307691311</v>
      </c>
      <c r="K15" s="207">
        <f t="shared" si="3"/>
        <v>40855405.909999996</v>
      </c>
      <c r="L15" s="207">
        <f t="shared" si="3"/>
        <v>20722252.560000002</v>
      </c>
      <c r="M15" s="29">
        <f>SUM(M7:M14)</f>
        <v>1461557391.47</v>
      </c>
    </row>
    <row r="16" spans="1:17" x14ac:dyDescent="0.25">
      <c r="B16" s="133"/>
      <c r="C16" s="133"/>
      <c r="D16" s="133"/>
      <c r="E16" s="5"/>
      <c r="G16" s="134"/>
    </row>
    <row r="17" spans="1:7" x14ac:dyDescent="0.25">
      <c r="A17" s="2"/>
      <c r="B17" s="67"/>
      <c r="C17" s="161"/>
      <c r="D17" s="162"/>
      <c r="E17" s="160"/>
      <c r="F17" s="169"/>
      <c r="G17" s="5"/>
    </row>
    <row r="18" spans="1:7" x14ac:dyDescent="0.25">
      <c r="C18" s="67"/>
      <c r="F18" s="169"/>
    </row>
    <row r="19" spans="1:7" x14ac:dyDescent="0.25">
      <c r="A19" s="67"/>
      <c r="C19" s="67"/>
      <c r="D19" s="142"/>
      <c r="E19" s="142"/>
      <c r="F19" s="169"/>
    </row>
    <row r="20" spans="1:7" x14ac:dyDescent="0.25">
      <c r="B20" s="406"/>
      <c r="D20" s="142"/>
      <c r="E20" s="142"/>
      <c r="F20" s="169"/>
    </row>
    <row r="21" spans="1:7" x14ac:dyDescent="0.25">
      <c r="C21" s="170"/>
      <c r="F21" s="169"/>
    </row>
    <row r="22" spans="1:7" x14ac:dyDescent="0.25">
      <c r="C22" s="67"/>
      <c r="F22" s="169"/>
    </row>
    <row r="23" spans="1:7" x14ac:dyDescent="0.25">
      <c r="F23" s="169"/>
    </row>
    <row r="24" spans="1:7" x14ac:dyDescent="0.25">
      <c r="F24" s="169"/>
    </row>
    <row r="25" spans="1:7" x14ac:dyDescent="0.25">
      <c r="C25" s="123"/>
    </row>
    <row r="30" spans="1:7" x14ac:dyDescent="0.25">
      <c r="B30" s="406"/>
    </row>
  </sheetData>
  <mergeCells count="3">
    <mergeCell ref="A5:A6"/>
    <mergeCell ref="B5:G5"/>
    <mergeCell ref="H5:M5"/>
  </mergeCells>
  <pageMargins left="0.32" right="0.2" top="0.78740157499999996" bottom="0.78740157499999996" header="0.3" footer="0.3"/>
  <pageSetup paperSize="9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workbookViewId="0">
      <selection activeCell="E17" sqref="E17:N17"/>
    </sheetView>
  </sheetViews>
  <sheetFormatPr defaultColWidth="9.140625" defaultRowHeight="15" x14ac:dyDescent="0.25"/>
  <cols>
    <col min="1" max="2" width="10.140625" style="1" customWidth="1"/>
    <col min="3" max="3" width="10.85546875" style="1" customWidth="1"/>
    <col min="4" max="4" width="12.28515625" style="1" customWidth="1"/>
    <col min="5" max="5" width="11.85546875" style="1" bestFit="1" customWidth="1"/>
    <col min="6" max="6" width="10.85546875" style="1" bestFit="1" customWidth="1"/>
    <col min="7" max="7" width="11.28515625" style="1" bestFit="1" customWidth="1"/>
    <col min="8" max="8" width="9.42578125" style="1" customWidth="1"/>
    <col min="9" max="9" width="10.28515625" style="1" bestFit="1" customWidth="1"/>
    <col min="10" max="10" width="10" style="1" bestFit="1" customWidth="1"/>
    <col min="11" max="11" width="10" style="1" customWidth="1"/>
    <col min="12" max="12" width="9.42578125" style="1" customWidth="1"/>
    <col min="13" max="14" width="9.28515625" style="1" bestFit="1" customWidth="1"/>
    <col min="15" max="16" width="10.85546875" style="1" bestFit="1" customWidth="1"/>
    <col min="17" max="16384" width="9.140625" style="1"/>
  </cols>
  <sheetData>
    <row r="1" spans="1:16" x14ac:dyDescent="0.25">
      <c r="H1" s="67"/>
      <c r="I1" s="67"/>
      <c r="J1" s="67"/>
      <c r="K1" s="67"/>
    </row>
    <row r="2" spans="1:16" x14ac:dyDescent="0.25">
      <c r="H2" s="67"/>
      <c r="I2" s="67"/>
      <c r="J2" s="67"/>
      <c r="K2" s="67"/>
    </row>
    <row r="3" spans="1:16" ht="33.75" customHeight="1" x14ac:dyDescent="0.25">
      <c r="A3" s="449" t="s">
        <v>105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</row>
    <row r="4" spans="1:16" ht="15.75" thickBot="1" x14ac:dyDescent="0.3">
      <c r="A4" s="96"/>
      <c r="B4" s="96"/>
      <c r="C4" s="96"/>
      <c r="D4" s="96"/>
      <c r="E4" s="97"/>
      <c r="F4" s="97"/>
      <c r="G4" s="97"/>
      <c r="H4" s="97"/>
      <c r="I4" s="97"/>
      <c r="J4" s="97"/>
      <c r="K4" s="97"/>
      <c r="L4" s="97"/>
      <c r="M4" s="98"/>
      <c r="N4" s="98"/>
    </row>
    <row r="5" spans="1:16" ht="15.75" thickBot="1" x14ac:dyDescent="0.3">
      <c r="A5" s="423" t="s">
        <v>104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5"/>
    </row>
    <row r="6" spans="1:16" ht="15" customHeight="1" x14ac:dyDescent="0.25">
      <c r="A6" s="437" t="s">
        <v>36</v>
      </c>
      <c r="B6" s="439" t="s">
        <v>37</v>
      </c>
      <c r="C6" s="447" t="s">
        <v>58</v>
      </c>
      <c r="D6" s="450" t="s">
        <v>39</v>
      </c>
      <c r="E6" s="441" t="s">
        <v>40</v>
      </c>
      <c r="F6" s="442"/>
      <c r="G6" s="442"/>
      <c r="H6" s="442"/>
      <c r="I6" s="442"/>
      <c r="J6" s="442"/>
      <c r="K6" s="442"/>
      <c r="L6" s="442"/>
      <c r="M6" s="442"/>
      <c r="N6" s="443"/>
    </row>
    <row r="7" spans="1:16" ht="45.75" thickBot="1" x14ac:dyDescent="0.3">
      <c r="A7" s="438"/>
      <c r="B7" s="440"/>
      <c r="C7" s="448"/>
      <c r="D7" s="451"/>
      <c r="E7" s="214" t="s">
        <v>42</v>
      </c>
      <c r="F7" s="215" t="s">
        <v>43</v>
      </c>
      <c r="G7" s="215" t="s">
        <v>44</v>
      </c>
      <c r="H7" s="215" t="s">
        <v>45</v>
      </c>
      <c r="I7" s="215" t="s">
        <v>46</v>
      </c>
      <c r="J7" s="215" t="s">
        <v>47</v>
      </c>
      <c r="K7" s="215" t="s">
        <v>76</v>
      </c>
      <c r="L7" s="82" t="s">
        <v>48</v>
      </c>
      <c r="M7" s="215" t="s">
        <v>49</v>
      </c>
      <c r="N7" s="83" t="s">
        <v>50</v>
      </c>
    </row>
    <row r="8" spans="1:16" ht="15.75" thickTop="1" x14ac:dyDescent="0.25">
      <c r="A8" s="84" t="s">
        <v>79</v>
      </c>
      <c r="B8" s="246">
        <v>861.21749999999997</v>
      </c>
      <c r="C8" s="247">
        <v>482037686</v>
      </c>
      <c r="D8" s="250">
        <f>C8/B8/12</f>
        <v>46643.045649521366</v>
      </c>
      <c r="E8" s="249">
        <v>299961867</v>
      </c>
      <c r="F8" s="247">
        <v>88174851</v>
      </c>
      <c r="G8" s="247">
        <v>17248524</v>
      </c>
      <c r="H8" s="247">
        <v>56071030</v>
      </c>
      <c r="I8" s="247">
        <v>7036711</v>
      </c>
      <c r="J8" s="247">
        <v>4081905</v>
      </c>
      <c r="K8" s="247">
        <v>697796</v>
      </c>
      <c r="L8" s="247">
        <v>8505911</v>
      </c>
      <c r="M8" s="248">
        <v>121145</v>
      </c>
      <c r="N8" s="292">
        <v>137946</v>
      </c>
      <c r="O8" s="67"/>
      <c r="P8" s="67"/>
    </row>
    <row r="9" spans="1:16" x14ac:dyDescent="0.25">
      <c r="A9" s="85" t="s">
        <v>10</v>
      </c>
      <c r="B9" s="267">
        <v>20.341899999999999</v>
      </c>
      <c r="C9" s="247">
        <v>11272991</v>
      </c>
      <c r="D9" s="250">
        <f t="shared" ref="D9:D16" si="0">C9/B9/12</f>
        <v>46181.326064264729</v>
      </c>
      <c r="E9" s="270">
        <v>6974760</v>
      </c>
      <c r="F9" s="268">
        <v>2122864</v>
      </c>
      <c r="G9" s="268">
        <v>311585</v>
      </c>
      <c r="H9" s="268">
        <v>1430206</v>
      </c>
      <c r="I9" s="268">
        <v>197036</v>
      </c>
      <c r="J9" s="268">
        <v>88654</v>
      </c>
      <c r="K9" s="268">
        <v>0</v>
      </c>
      <c r="L9" s="268">
        <v>146836</v>
      </c>
      <c r="M9" s="269">
        <v>968</v>
      </c>
      <c r="N9" s="271">
        <v>82</v>
      </c>
      <c r="O9" s="67"/>
      <c r="P9" s="67"/>
    </row>
    <row r="10" spans="1:16" ht="22.5" x14ac:dyDescent="0.25">
      <c r="A10" s="85" t="s">
        <v>86</v>
      </c>
      <c r="B10" s="267">
        <v>100.9902</v>
      </c>
      <c r="C10" s="247">
        <v>48269129</v>
      </c>
      <c r="D10" s="250">
        <f t="shared" si="0"/>
        <v>39829.878707702992</v>
      </c>
      <c r="E10" s="270">
        <v>30979433</v>
      </c>
      <c r="F10" s="268">
        <v>8796855</v>
      </c>
      <c r="G10" s="268">
        <v>1911909</v>
      </c>
      <c r="H10" s="268">
        <v>4627702</v>
      </c>
      <c r="I10" s="268">
        <v>739437</v>
      </c>
      <c r="J10" s="268">
        <v>1142141</v>
      </c>
      <c r="K10" s="268">
        <v>64116</v>
      </c>
      <c r="L10" s="268">
        <v>0</v>
      </c>
      <c r="M10" s="269">
        <v>0</v>
      </c>
      <c r="N10" s="271">
        <v>7536</v>
      </c>
      <c r="O10" s="67"/>
      <c r="P10" s="67"/>
    </row>
    <row r="11" spans="1:16" x14ac:dyDescent="0.25">
      <c r="A11" s="85" t="s">
        <v>25</v>
      </c>
      <c r="B11" s="267">
        <v>17.133400000000002</v>
      </c>
      <c r="C11" s="247">
        <v>6825953</v>
      </c>
      <c r="D11" s="250">
        <f t="shared" si="0"/>
        <v>33200.031322835312</v>
      </c>
      <c r="E11" s="270">
        <v>4767650</v>
      </c>
      <c r="F11" s="268">
        <v>1243979</v>
      </c>
      <c r="G11" s="268">
        <v>171500</v>
      </c>
      <c r="H11" s="268">
        <v>475252</v>
      </c>
      <c r="I11" s="268">
        <v>57072</v>
      </c>
      <c r="J11" s="268">
        <v>96665</v>
      </c>
      <c r="K11" s="268">
        <v>0</v>
      </c>
      <c r="L11" s="268">
        <v>0</v>
      </c>
      <c r="M11" s="269">
        <v>0</v>
      </c>
      <c r="N11" s="271">
        <v>13835</v>
      </c>
      <c r="O11" s="67"/>
      <c r="P11" s="67"/>
    </row>
    <row r="12" spans="1:16" x14ac:dyDescent="0.25">
      <c r="A12" s="86" t="s">
        <v>26</v>
      </c>
      <c r="B12" s="293">
        <v>0</v>
      </c>
      <c r="C12" s="247">
        <v>0</v>
      </c>
      <c r="D12" s="250">
        <v>0</v>
      </c>
      <c r="E12" s="294">
        <v>0</v>
      </c>
      <c r="F12" s="295">
        <v>0</v>
      </c>
      <c r="G12" s="295">
        <v>0</v>
      </c>
      <c r="H12" s="295">
        <v>0</v>
      </c>
      <c r="I12" s="295">
        <v>0</v>
      </c>
      <c r="J12" s="295">
        <v>0</v>
      </c>
      <c r="K12" s="295">
        <v>0</v>
      </c>
      <c r="L12" s="295">
        <v>0</v>
      </c>
      <c r="M12" s="296">
        <v>0</v>
      </c>
      <c r="N12" s="297">
        <v>0</v>
      </c>
    </row>
    <row r="13" spans="1:16" x14ac:dyDescent="0.25">
      <c r="A13" s="90" t="s">
        <v>11</v>
      </c>
      <c r="B13" s="293">
        <v>82.9726</v>
      </c>
      <c r="C13" s="247">
        <v>42183005</v>
      </c>
      <c r="D13" s="250">
        <f t="shared" si="0"/>
        <v>42366.400675242992</v>
      </c>
      <c r="E13" s="294">
        <v>24106183</v>
      </c>
      <c r="F13" s="298">
        <v>6463803</v>
      </c>
      <c r="G13" s="298">
        <v>1283134</v>
      </c>
      <c r="H13" s="298">
        <v>5083185</v>
      </c>
      <c r="I13" s="298">
        <v>1096881</v>
      </c>
      <c r="J13" s="298">
        <v>604202</v>
      </c>
      <c r="K13" s="298">
        <v>0</v>
      </c>
      <c r="L13" s="298">
        <v>588558</v>
      </c>
      <c r="M13" s="299">
        <v>190178</v>
      </c>
      <c r="N13" s="297">
        <v>2766881</v>
      </c>
      <c r="O13" s="67"/>
      <c r="P13" s="67"/>
    </row>
    <row r="14" spans="1:16" x14ac:dyDescent="0.25">
      <c r="A14" s="90" t="s">
        <v>8</v>
      </c>
      <c r="B14" s="267">
        <v>12.470700000000001</v>
      </c>
      <c r="C14" s="268">
        <v>5805489</v>
      </c>
      <c r="D14" s="271">
        <f t="shared" si="0"/>
        <v>38794.193589774433</v>
      </c>
      <c r="E14" s="294">
        <v>3725926</v>
      </c>
      <c r="F14" s="298">
        <v>1076942</v>
      </c>
      <c r="G14" s="298">
        <v>145772</v>
      </c>
      <c r="H14" s="298">
        <v>741201</v>
      </c>
      <c r="I14" s="298">
        <v>0</v>
      </c>
      <c r="J14" s="298">
        <v>96264</v>
      </c>
      <c r="K14" s="298">
        <v>19384</v>
      </c>
      <c r="L14" s="298">
        <v>0</v>
      </c>
      <c r="M14" s="299">
        <v>0</v>
      </c>
      <c r="N14" s="297">
        <v>0</v>
      </c>
      <c r="P14" s="67"/>
    </row>
    <row r="15" spans="1:16" ht="22.5" x14ac:dyDescent="0.25">
      <c r="A15" s="90" t="s">
        <v>87</v>
      </c>
      <c r="B15" s="267">
        <v>12.7981</v>
      </c>
      <c r="C15" s="268">
        <v>7860188</v>
      </c>
      <c r="D15" s="271">
        <f t="shared" si="0"/>
        <v>51180.696092909631</v>
      </c>
      <c r="E15" s="294">
        <v>4634127</v>
      </c>
      <c r="F15" s="298">
        <v>1304038</v>
      </c>
      <c r="G15" s="298">
        <v>286765</v>
      </c>
      <c r="H15" s="298">
        <v>1362942</v>
      </c>
      <c r="I15" s="298">
        <v>145968</v>
      </c>
      <c r="J15" s="298">
        <v>126348</v>
      </c>
      <c r="K15" s="298">
        <v>0</v>
      </c>
      <c r="L15" s="298">
        <v>0</v>
      </c>
      <c r="M15" s="299">
        <v>0</v>
      </c>
      <c r="N15" s="297">
        <v>0</v>
      </c>
      <c r="O15" s="67"/>
      <c r="P15" s="67"/>
    </row>
    <row r="16" spans="1:16" ht="23.25" thickBot="1" x14ac:dyDescent="0.3">
      <c r="A16" s="87" t="s">
        <v>55</v>
      </c>
      <c r="B16" s="258">
        <v>87.272599999999997</v>
      </c>
      <c r="C16" s="259">
        <v>40617284</v>
      </c>
      <c r="D16" s="262">
        <f t="shared" si="0"/>
        <v>38783.921490441062</v>
      </c>
      <c r="E16" s="261">
        <v>26567752</v>
      </c>
      <c r="F16" s="259">
        <v>8533248</v>
      </c>
      <c r="G16" s="259">
        <v>1337594</v>
      </c>
      <c r="H16" s="259">
        <v>2826879</v>
      </c>
      <c r="I16" s="259">
        <v>897094</v>
      </c>
      <c r="J16" s="259">
        <v>14125</v>
      </c>
      <c r="K16" s="259">
        <v>0</v>
      </c>
      <c r="L16" s="259">
        <v>19268</v>
      </c>
      <c r="M16" s="260">
        <v>55129</v>
      </c>
      <c r="N16" s="262">
        <v>366195</v>
      </c>
      <c r="P16" s="67"/>
    </row>
    <row r="17" spans="1:15" ht="16.5" thickTop="1" thickBot="1" x14ac:dyDescent="0.3">
      <c r="A17" s="100" t="s">
        <v>52</v>
      </c>
      <c r="B17" s="264">
        <f>SUM(B8:B16)</f>
        <v>1195.1970000000001</v>
      </c>
      <c r="C17" s="26">
        <f>SUM(C8:C16)</f>
        <v>644871725</v>
      </c>
      <c r="D17" s="300">
        <f>C17/B17/12</f>
        <v>44962.721975261542</v>
      </c>
      <c r="E17" s="25">
        <f>SUM(E8:E16)</f>
        <v>401717698</v>
      </c>
      <c r="F17" s="301">
        <f t="shared" ref="F17:N17" si="1">SUM(F8:F16)</f>
        <v>117716580</v>
      </c>
      <c r="G17" s="301">
        <f t="shared" si="1"/>
        <v>22696783</v>
      </c>
      <c r="H17" s="301">
        <f t="shared" si="1"/>
        <v>72618397</v>
      </c>
      <c r="I17" s="301">
        <f t="shared" si="1"/>
        <v>10170199</v>
      </c>
      <c r="J17" s="301">
        <f t="shared" si="1"/>
        <v>6250304</v>
      </c>
      <c r="K17" s="301">
        <f t="shared" si="1"/>
        <v>781296</v>
      </c>
      <c r="L17" s="301">
        <f t="shared" si="1"/>
        <v>9260573</v>
      </c>
      <c r="M17" s="302">
        <f t="shared" si="1"/>
        <v>367420</v>
      </c>
      <c r="N17" s="303">
        <f t="shared" si="1"/>
        <v>3292475</v>
      </c>
      <c r="O17" s="67"/>
    </row>
    <row r="18" spans="1:15" x14ac:dyDescent="0.25">
      <c r="A18" s="128"/>
      <c r="B18" s="159"/>
      <c r="C18" s="174"/>
      <c r="D18" s="128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5" ht="23.25" customHeight="1" x14ac:dyDescent="0.25">
      <c r="B19" s="80" t="s">
        <v>1</v>
      </c>
    </row>
    <row r="21" spans="1:15" x14ac:dyDescent="0.25">
      <c r="D21" s="80"/>
    </row>
    <row r="22" spans="1:15" x14ac:dyDescent="0.25">
      <c r="D22" s="80"/>
    </row>
    <row r="23" spans="1:15" x14ac:dyDescent="0.25">
      <c r="D23" s="80"/>
    </row>
    <row r="24" spans="1:15" x14ac:dyDescent="0.25">
      <c r="D24" s="80"/>
    </row>
    <row r="25" spans="1:15" x14ac:dyDescent="0.25">
      <c r="D25" s="80"/>
    </row>
    <row r="26" spans="1:15" x14ac:dyDescent="0.25">
      <c r="D26" s="80"/>
    </row>
    <row r="27" spans="1:15" x14ac:dyDescent="0.25">
      <c r="D27" s="80"/>
    </row>
    <row r="28" spans="1:15" x14ac:dyDescent="0.25">
      <c r="D28" s="80"/>
    </row>
    <row r="29" spans="1:15" x14ac:dyDescent="0.25">
      <c r="D29" s="80"/>
    </row>
    <row r="30" spans="1:15" x14ac:dyDescent="0.25">
      <c r="D30" s="80"/>
    </row>
    <row r="31" spans="1:15" x14ac:dyDescent="0.25">
      <c r="D31" s="80"/>
    </row>
    <row r="32" spans="1:15" x14ac:dyDescent="0.25">
      <c r="D32" s="80"/>
    </row>
    <row r="33" spans="4:4" x14ac:dyDescent="0.25">
      <c r="D33" s="80"/>
    </row>
    <row r="34" spans="4:4" x14ac:dyDescent="0.25">
      <c r="D34" s="80"/>
    </row>
    <row r="35" spans="4:4" x14ac:dyDescent="0.25">
      <c r="D35" s="80"/>
    </row>
    <row r="36" spans="4:4" x14ac:dyDescent="0.25">
      <c r="D36" s="80"/>
    </row>
    <row r="37" spans="4:4" x14ac:dyDescent="0.25">
      <c r="D37" s="80"/>
    </row>
    <row r="38" spans="4:4" x14ac:dyDescent="0.25">
      <c r="D38" s="80"/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19685039370078741" right="0.19685039370078741" top="0.78740157480314965" bottom="0.78740157480314965" header="0.31496062992125984" footer="0.31496062992125984"/>
  <pageSetup paperSize="9" scale="99" orientation="landscape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E14" sqref="E14:L14"/>
    </sheetView>
  </sheetViews>
  <sheetFormatPr defaultRowHeight="15" x14ac:dyDescent="0.25"/>
  <cols>
    <col min="1" max="2" width="10.140625" customWidth="1"/>
    <col min="3" max="3" width="10.5703125" customWidth="1"/>
    <col min="4" max="4" width="12.7109375" customWidth="1"/>
    <col min="5" max="5" width="11.140625" customWidth="1"/>
    <col min="6" max="6" width="10.85546875" customWidth="1"/>
    <col min="7" max="7" width="9.28515625" customWidth="1"/>
    <col min="8" max="8" width="9.42578125" customWidth="1"/>
    <col min="9" max="9" width="9.140625" customWidth="1"/>
    <col min="10" max="10" width="9.5703125" customWidth="1"/>
    <col min="11" max="11" width="11.7109375" customWidth="1"/>
    <col min="12" max="12" width="12" customWidth="1"/>
    <col min="13" max="13" width="10.85546875" bestFit="1" customWidth="1"/>
    <col min="14" max="14" width="9.85546875" bestFit="1" customWidth="1"/>
  </cols>
  <sheetData>
    <row r="1" spans="1:14" x14ac:dyDescent="0.25">
      <c r="H1" s="101"/>
      <c r="I1" s="101"/>
      <c r="J1" s="101"/>
    </row>
    <row r="2" spans="1:14" x14ac:dyDescent="0.25">
      <c r="H2" s="101"/>
      <c r="I2" s="101"/>
      <c r="J2" s="101"/>
    </row>
    <row r="3" spans="1:14" ht="34.5" customHeight="1" x14ac:dyDescent="0.25">
      <c r="A3" s="444" t="s">
        <v>110</v>
      </c>
      <c r="B3" s="444"/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6"/>
    </row>
    <row r="4" spans="1:14" ht="15.75" thickBot="1" x14ac:dyDescent="0.3">
      <c r="A4" s="96"/>
      <c r="B4" s="96"/>
      <c r="C4" s="96"/>
      <c r="D4" s="96"/>
      <c r="E4" s="96"/>
      <c r="F4" s="96"/>
      <c r="G4" s="96"/>
      <c r="H4" s="96"/>
      <c r="I4" s="96"/>
      <c r="J4" s="96"/>
      <c r="K4" s="102"/>
      <c r="L4" s="102"/>
      <c r="M4" s="102"/>
    </row>
    <row r="5" spans="1:14" ht="15.75" thickBot="1" x14ac:dyDescent="0.3">
      <c r="A5" s="452" t="s">
        <v>109</v>
      </c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4"/>
    </row>
    <row r="6" spans="1:14" ht="15" customHeight="1" x14ac:dyDescent="0.25">
      <c r="A6" s="445" t="s">
        <v>36</v>
      </c>
      <c r="B6" s="439" t="s">
        <v>37</v>
      </c>
      <c r="C6" s="447" t="s">
        <v>53</v>
      </c>
      <c r="D6" s="450" t="s">
        <v>39</v>
      </c>
      <c r="E6" s="435" t="s">
        <v>40</v>
      </c>
      <c r="F6" s="435"/>
      <c r="G6" s="435"/>
      <c r="H6" s="435"/>
      <c r="I6" s="435"/>
      <c r="J6" s="435"/>
      <c r="K6" s="435"/>
      <c r="L6" s="436"/>
    </row>
    <row r="7" spans="1:14" ht="61.5" customHeight="1" thickBot="1" x14ac:dyDescent="0.3">
      <c r="A7" s="446"/>
      <c r="B7" s="440"/>
      <c r="C7" s="448"/>
      <c r="D7" s="451"/>
      <c r="E7" s="99" t="s">
        <v>42</v>
      </c>
      <c r="F7" s="81" t="s">
        <v>43</v>
      </c>
      <c r="G7" s="81" t="s">
        <v>44</v>
      </c>
      <c r="H7" s="81" t="s">
        <v>45</v>
      </c>
      <c r="I7" s="81" t="s">
        <v>46</v>
      </c>
      <c r="J7" s="81" t="s">
        <v>47</v>
      </c>
      <c r="K7" s="81" t="s">
        <v>49</v>
      </c>
      <c r="L7" s="83" t="s">
        <v>50</v>
      </c>
    </row>
    <row r="8" spans="1:14" ht="23.25" customHeight="1" thickTop="1" x14ac:dyDescent="0.25">
      <c r="A8" s="92" t="s">
        <v>24</v>
      </c>
      <c r="B8" s="304">
        <v>234.38560000000001</v>
      </c>
      <c r="C8" s="305">
        <v>58187635</v>
      </c>
      <c r="D8" s="250">
        <f>C8/B8/12</f>
        <v>20688.001239552828</v>
      </c>
      <c r="E8" s="306">
        <v>41695602</v>
      </c>
      <c r="F8" s="247">
        <v>6804773</v>
      </c>
      <c r="G8" s="247">
        <v>1060864</v>
      </c>
      <c r="H8" s="247">
        <v>8321889</v>
      </c>
      <c r="I8" s="247">
        <v>194132</v>
      </c>
      <c r="J8" s="247">
        <v>0</v>
      </c>
      <c r="K8" s="247">
        <v>17098</v>
      </c>
      <c r="L8" s="250">
        <v>93277</v>
      </c>
      <c r="M8" s="101"/>
      <c r="N8" s="101"/>
    </row>
    <row r="9" spans="1:14" ht="23.25" customHeight="1" x14ac:dyDescent="0.25">
      <c r="A9" s="93" t="s">
        <v>80</v>
      </c>
      <c r="B9" s="307">
        <v>450.19</v>
      </c>
      <c r="C9" s="305">
        <v>128256291</v>
      </c>
      <c r="D9" s="250">
        <f t="shared" ref="D9:D12" si="0">C9/B9/12</f>
        <v>23741.140962704638</v>
      </c>
      <c r="E9" s="308">
        <v>91048659</v>
      </c>
      <c r="F9" s="268">
        <v>13986551</v>
      </c>
      <c r="G9" s="268">
        <v>2891483</v>
      </c>
      <c r="H9" s="268">
        <v>18255157</v>
      </c>
      <c r="I9" s="268">
        <v>1680873</v>
      </c>
      <c r="J9" s="268">
        <v>0</v>
      </c>
      <c r="K9" s="268">
        <v>93593</v>
      </c>
      <c r="L9" s="271">
        <v>299975</v>
      </c>
      <c r="M9" s="101"/>
      <c r="N9" s="101"/>
    </row>
    <row r="10" spans="1:14" ht="23.25" customHeight="1" x14ac:dyDescent="0.25">
      <c r="A10" s="93" t="s">
        <v>57</v>
      </c>
      <c r="B10" s="307">
        <v>20.171299999999999</v>
      </c>
      <c r="C10" s="305">
        <v>6690871</v>
      </c>
      <c r="D10" s="250">
        <f t="shared" si="0"/>
        <v>27641.876494491353</v>
      </c>
      <c r="E10" s="308">
        <v>4404044</v>
      </c>
      <c r="F10" s="268">
        <v>626438</v>
      </c>
      <c r="G10" s="268">
        <v>240666</v>
      </c>
      <c r="H10" s="268">
        <v>1328601</v>
      </c>
      <c r="I10" s="268">
        <v>87790</v>
      </c>
      <c r="J10" s="268">
        <v>0</v>
      </c>
      <c r="K10" s="268">
        <v>0</v>
      </c>
      <c r="L10" s="271">
        <v>3332</v>
      </c>
      <c r="M10" s="101"/>
      <c r="N10" s="101"/>
    </row>
    <row r="11" spans="1:14" ht="23.25" customHeight="1" x14ac:dyDescent="0.25">
      <c r="A11" s="93" t="s">
        <v>25</v>
      </c>
      <c r="B11" s="307">
        <v>3.1922999999999999</v>
      </c>
      <c r="C11" s="305">
        <v>794089</v>
      </c>
      <c r="D11" s="250">
        <f t="shared" si="0"/>
        <v>20729.280873769174</v>
      </c>
      <c r="E11" s="308">
        <v>614104</v>
      </c>
      <c r="F11" s="268">
        <v>90406</v>
      </c>
      <c r="G11" s="268">
        <v>15056</v>
      </c>
      <c r="H11" s="268">
        <v>73652</v>
      </c>
      <c r="I11" s="268">
        <v>0</v>
      </c>
      <c r="J11" s="268">
        <v>0</v>
      </c>
      <c r="K11" s="268">
        <v>0</v>
      </c>
      <c r="L11" s="271">
        <v>871</v>
      </c>
      <c r="M11" s="101"/>
      <c r="N11" s="101"/>
    </row>
    <row r="12" spans="1:14" ht="23.25" customHeight="1" x14ac:dyDescent="0.25">
      <c r="A12" s="94" t="s">
        <v>26</v>
      </c>
      <c r="B12" s="267">
        <v>500.47059999999999</v>
      </c>
      <c r="C12" s="305">
        <v>140734710</v>
      </c>
      <c r="D12" s="250">
        <f t="shared" si="0"/>
        <v>23433.729174101336</v>
      </c>
      <c r="E12" s="308">
        <v>98620975</v>
      </c>
      <c r="F12" s="268">
        <v>19312852</v>
      </c>
      <c r="G12" s="268">
        <v>2522011</v>
      </c>
      <c r="H12" s="268">
        <v>17735971</v>
      </c>
      <c r="I12" s="268">
        <v>2504834</v>
      </c>
      <c r="J12" s="268">
        <v>0</v>
      </c>
      <c r="K12" s="268">
        <v>27783</v>
      </c>
      <c r="L12" s="271">
        <v>10284</v>
      </c>
      <c r="M12" s="203"/>
      <c r="N12" s="101"/>
    </row>
    <row r="13" spans="1:14" ht="23.25" customHeight="1" thickBot="1" x14ac:dyDescent="0.3">
      <c r="A13" s="95" t="s">
        <v>51</v>
      </c>
      <c r="B13" s="258">
        <v>75.326400000000007</v>
      </c>
      <c r="C13" s="309">
        <v>23412460</v>
      </c>
      <c r="D13" s="310">
        <f>C13/B13/12</f>
        <v>25901.122758200752</v>
      </c>
      <c r="E13" s="311">
        <v>16274419</v>
      </c>
      <c r="F13" s="259">
        <v>2401736</v>
      </c>
      <c r="G13" s="259">
        <v>724522</v>
      </c>
      <c r="H13" s="259">
        <v>3682020</v>
      </c>
      <c r="I13" s="259">
        <v>229996</v>
      </c>
      <c r="J13" s="259">
        <v>0</v>
      </c>
      <c r="K13" s="259">
        <v>20730</v>
      </c>
      <c r="L13" s="262">
        <v>79037</v>
      </c>
      <c r="M13" s="203"/>
      <c r="N13" s="101"/>
    </row>
    <row r="14" spans="1:14" ht="23.25" customHeight="1" thickTop="1" thickBot="1" x14ac:dyDescent="0.3">
      <c r="A14" s="88" t="s">
        <v>52</v>
      </c>
      <c r="B14" s="264">
        <f>SUM(B8:B13)</f>
        <v>1283.7361999999998</v>
      </c>
      <c r="C14" s="26">
        <f>SUM(C8:C13)</f>
        <v>358076056</v>
      </c>
      <c r="D14" s="303">
        <f>C14/B14/12</f>
        <v>23244.395019267464</v>
      </c>
      <c r="E14" s="301">
        <f>SUM(E8:E13)</f>
        <v>252657803</v>
      </c>
      <c r="F14" s="301">
        <f t="shared" ref="F14:L14" si="1">SUM(F8:F13)</f>
        <v>43222756</v>
      </c>
      <c r="G14" s="301">
        <f t="shared" si="1"/>
        <v>7454602</v>
      </c>
      <c r="H14" s="301">
        <f t="shared" si="1"/>
        <v>49397290</v>
      </c>
      <c r="I14" s="301">
        <f t="shared" si="1"/>
        <v>4697625</v>
      </c>
      <c r="J14" s="301">
        <f t="shared" si="1"/>
        <v>0</v>
      </c>
      <c r="K14" s="301">
        <f t="shared" si="1"/>
        <v>159204</v>
      </c>
      <c r="L14" s="29">
        <f t="shared" si="1"/>
        <v>486776</v>
      </c>
    </row>
    <row r="15" spans="1:14" x14ac:dyDescent="0.25">
      <c r="D15" s="125"/>
    </row>
    <row r="16" spans="1:14" x14ac:dyDescent="0.25">
      <c r="A16" s="120"/>
      <c r="B16" s="126"/>
      <c r="C16" s="127"/>
      <c r="E16" s="127"/>
      <c r="F16" s="127"/>
      <c r="G16" s="127"/>
      <c r="H16" s="127"/>
      <c r="I16" s="127"/>
      <c r="J16" s="127"/>
      <c r="K16" s="127"/>
      <c r="L16" s="127"/>
    </row>
    <row r="17" spans="4:5" x14ac:dyDescent="0.25">
      <c r="D17" s="79"/>
      <c r="E17" s="79"/>
    </row>
    <row r="18" spans="4:5" x14ac:dyDescent="0.25">
      <c r="D18" s="79"/>
      <c r="E18" s="79"/>
    </row>
    <row r="19" spans="4:5" x14ac:dyDescent="0.25">
      <c r="D19" s="79"/>
      <c r="E19" s="79"/>
    </row>
    <row r="20" spans="4:5" x14ac:dyDescent="0.25">
      <c r="D20" s="79"/>
      <c r="E20" s="79"/>
    </row>
    <row r="21" spans="4:5" x14ac:dyDescent="0.25">
      <c r="D21" s="79"/>
      <c r="E21" s="79"/>
    </row>
    <row r="22" spans="4:5" x14ac:dyDescent="0.25">
      <c r="D22" s="79"/>
      <c r="E22" s="79"/>
    </row>
    <row r="23" spans="4:5" x14ac:dyDescent="0.25">
      <c r="D23" s="79"/>
      <c r="E23" s="79"/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E17" sqref="E17:L17"/>
    </sheetView>
  </sheetViews>
  <sheetFormatPr defaultColWidth="9.140625" defaultRowHeight="15" x14ac:dyDescent="0.25"/>
  <cols>
    <col min="1" max="1" width="11.7109375" style="1" customWidth="1"/>
    <col min="2" max="2" width="10.140625" style="1" customWidth="1"/>
    <col min="3" max="3" width="10.85546875" style="1" customWidth="1"/>
    <col min="4" max="4" width="12.85546875" style="1" bestFit="1" customWidth="1"/>
    <col min="5" max="5" width="11.85546875" style="1" bestFit="1" customWidth="1"/>
    <col min="6" max="6" width="10" style="1" bestFit="1" customWidth="1"/>
    <col min="7" max="7" width="10.28515625" style="1" bestFit="1" customWidth="1"/>
    <col min="8" max="8" width="10" style="1" bestFit="1" customWidth="1"/>
    <col min="9" max="9" width="9.28515625" style="1" bestFit="1" customWidth="1"/>
    <col min="10" max="11" width="9.7109375" style="1" bestFit="1" customWidth="1"/>
    <col min="12" max="12" width="9.28515625" style="1" bestFit="1" customWidth="1"/>
    <col min="13" max="13" width="10.85546875" style="1" bestFit="1" customWidth="1"/>
    <col min="14" max="14" width="9.85546875" style="1" bestFit="1" customWidth="1"/>
    <col min="15" max="16384" width="9.140625" style="1"/>
  </cols>
  <sheetData>
    <row r="1" spans="1:14" x14ac:dyDescent="0.25">
      <c r="H1" s="67"/>
      <c r="I1" s="67"/>
      <c r="J1" s="67"/>
    </row>
    <row r="2" spans="1:14" x14ac:dyDescent="0.25">
      <c r="H2" s="67"/>
      <c r="I2" s="67"/>
      <c r="J2" s="67"/>
    </row>
    <row r="3" spans="1:14" ht="34.5" customHeight="1" x14ac:dyDescent="0.25">
      <c r="A3" s="444" t="s">
        <v>111</v>
      </c>
      <c r="B3" s="444"/>
      <c r="C3" s="444"/>
      <c r="D3" s="444"/>
      <c r="E3" s="444"/>
      <c r="F3" s="444"/>
      <c r="G3" s="444"/>
      <c r="H3" s="444"/>
      <c r="I3" s="444"/>
      <c r="J3" s="444"/>
      <c r="K3" s="444"/>
      <c r="L3" s="444"/>
    </row>
    <row r="4" spans="1:14" ht="15.75" thickBot="1" x14ac:dyDescent="0.3">
      <c r="E4" s="89"/>
      <c r="F4" s="89"/>
      <c r="G4" s="89"/>
      <c r="H4" s="89"/>
      <c r="I4" s="89"/>
      <c r="J4" s="89"/>
      <c r="K4" s="89"/>
      <c r="L4" s="89"/>
    </row>
    <row r="5" spans="1:14" ht="15.75" thickBot="1" x14ac:dyDescent="0.3">
      <c r="A5" s="455" t="s">
        <v>112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7"/>
    </row>
    <row r="6" spans="1:14" ht="15" customHeight="1" x14ac:dyDescent="0.25">
      <c r="A6" s="437" t="s">
        <v>36</v>
      </c>
      <c r="B6" s="439" t="s">
        <v>37</v>
      </c>
      <c r="C6" s="447" t="s">
        <v>58</v>
      </c>
      <c r="D6" s="432" t="s">
        <v>39</v>
      </c>
      <c r="E6" s="434" t="s">
        <v>40</v>
      </c>
      <c r="F6" s="435"/>
      <c r="G6" s="435"/>
      <c r="H6" s="435"/>
      <c r="I6" s="435"/>
      <c r="J6" s="435"/>
      <c r="K6" s="435"/>
      <c r="L6" s="436"/>
    </row>
    <row r="7" spans="1:14" ht="60.75" customHeight="1" thickBot="1" x14ac:dyDescent="0.3">
      <c r="A7" s="438"/>
      <c r="B7" s="440"/>
      <c r="C7" s="448"/>
      <c r="D7" s="433"/>
      <c r="E7" s="322" t="s">
        <v>42</v>
      </c>
      <c r="F7" s="323" t="s">
        <v>43</v>
      </c>
      <c r="G7" s="323" t="s">
        <v>44</v>
      </c>
      <c r="H7" s="323" t="s">
        <v>45</v>
      </c>
      <c r="I7" s="323" t="s">
        <v>46</v>
      </c>
      <c r="J7" s="323" t="s">
        <v>47</v>
      </c>
      <c r="K7" s="323" t="s">
        <v>49</v>
      </c>
      <c r="L7" s="83" t="s">
        <v>50</v>
      </c>
    </row>
    <row r="8" spans="1:14" ht="15.75" thickTop="1" x14ac:dyDescent="0.25">
      <c r="A8" s="84" t="s">
        <v>79</v>
      </c>
      <c r="B8" s="312">
        <v>233.8734</v>
      </c>
      <c r="C8" s="247">
        <v>79823555</v>
      </c>
      <c r="D8" s="248">
        <f>C8/B8/12</f>
        <v>28442.580116707017</v>
      </c>
      <c r="E8" s="249">
        <v>54633218</v>
      </c>
      <c r="F8" s="247">
        <v>8366651</v>
      </c>
      <c r="G8" s="247">
        <v>3828402</v>
      </c>
      <c r="H8" s="247">
        <v>11177692</v>
      </c>
      <c r="I8" s="247">
        <v>1621078</v>
      </c>
      <c r="J8" s="247">
        <v>25564</v>
      </c>
      <c r="K8" s="247">
        <v>97919</v>
      </c>
      <c r="L8" s="250">
        <v>73031</v>
      </c>
      <c r="M8" s="67"/>
      <c r="N8" s="67"/>
    </row>
    <row r="9" spans="1:14" x14ac:dyDescent="0.25">
      <c r="A9" s="85" t="s">
        <v>10</v>
      </c>
      <c r="B9" s="313">
        <v>3.5335000000000001</v>
      </c>
      <c r="C9" s="247">
        <v>1234673</v>
      </c>
      <c r="D9" s="248">
        <f>C9/B9/12</f>
        <v>29118.272722984766</v>
      </c>
      <c r="E9" s="270">
        <v>898107</v>
      </c>
      <c r="F9" s="268">
        <v>116182</v>
      </c>
      <c r="G9" s="268">
        <v>62603</v>
      </c>
      <c r="H9" s="268">
        <v>118625</v>
      </c>
      <c r="I9" s="268">
        <v>29927</v>
      </c>
      <c r="J9" s="268">
        <v>0</v>
      </c>
      <c r="K9" s="268">
        <v>0</v>
      </c>
      <c r="L9" s="271">
        <v>9229</v>
      </c>
      <c r="M9" s="67"/>
      <c r="N9" s="67"/>
    </row>
    <row r="10" spans="1:14" ht="22.5" x14ac:dyDescent="0.25">
      <c r="A10" s="85" t="s">
        <v>85</v>
      </c>
      <c r="B10" s="313">
        <v>18.1144</v>
      </c>
      <c r="C10" s="247">
        <v>5819922</v>
      </c>
      <c r="D10" s="248">
        <f>C10/B10/12</f>
        <v>26773.920196087089</v>
      </c>
      <c r="E10" s="270">
        <v>4302453</v>
      </c>
      <c r="F10" s="268">
        <v>564688</v>
      </c>
      <c r="G10" s="268">
        <v>328393</v>
      </c>
      <c r="H10" s="268">
        <v>518510</v>
      </c>
      <c r="I10" s="268">
        <v>100111</v>
      </c>
      <c r="J10" s="268">
        <v>0</v>
      </c>
      <c r="K10" s="268">
        <v>1101</v>
      </c>
      <c r="L10" s="271">
        <v>4666</v>
      </c>
      <c r="M10" s="67"/>
      <c r="N10" s="67"/>
    </row>
    <row r="11" spans="1:14" x14ac:dyDescent="0.25">
      <c r="A11" s="85" t="s">
        <v>25</v>
      </c>
      <c r="B11" s="314">
        <v>0.48180000000000001</v>
      </c>
      <c r="C11" s="247">
        <v>120046</v>
      </c>
      <c r="D11" s="248">
        <v>0</v>
      </c>
      <c r="E11" s="270">
        <v>95658</v>
      </c>
      <c r="F11" s="268">
        <v>14199</v>
      </c>
      <c r="G11" s="268">
        <v>10189</v>
      </c>
      <c r="H11" s="268">
        <v>0</v>
      </c>
      <c r="I11" s="268">
        <v>0</v>
      </c>
      <c r="J11" s="268">
        <v>0</v>
      </c>
      <c r="K11" s="268">
        <v>0</v>
      </c>
      <c r="L11" s="271">
        <v>0</v>
      </c>
      <c r="M11" s="67"/>
    </row>
    <row r="12" spans="1:14" x14ac:dyDescent="0.25">
      <c r="A12" s="86" t="s">
        <v>26</v>
      </c>
      <c r="B12" s="313">
        <v>54.586300000000001</v>
      </c>
      <c r="C12" s="247">
        <v>15522843</v>
      </c>
      <c r="D12" s="248">
        <f t="shared" ref="D12:D17" si="0">C12/B12/12</f>
        <v>23697.708948948726</v>
      </c>
      <c r="E12" s="270">
        <v>9686580</v>
      </c>
      <c r="F12" s="268">
        <v>3314732</v>
      </c>
      <c r="G12" s="268">
        <v>700138</v>
      </c>
      <c r="H12" s="268">
        <v>1306356</v>
      </c>
      <c r="I12" s="268">
        <v>436761</v>
      </c>
      <c r="J12" s="268">
        <v>43181</v>
      </c>
      <c r="K12" s="268">
        <v>15227</v>
      </c>
      <c r="L12" s="271">
        <v>19868</v>
      </c>
      <c r="M12" s="67"/>
      <c r="N12" s="67"/>
    </row>
    <row r="13" spans="1:14" x14ac:dyDescent="0.25">
      <c r="A13" s="90" t="s">
        <v>8</v>
      </c>
      <c r="B13" s="313">
        <v>0.98980000000000001</v>
      </c>
      <c r="C13" s="247">
        <v>407944</v>
      </c>
      <c r="D13" s="248">
        <v>0</v>
      </c>
      <c r="E13" s="270">
        <v>301445</v>
      </c>
      <c r="F13" s="268">
        <v>39791</v>
      </c>
      <c r="G13" s="268">
        <v>14412</v>
      </c>
      <c r="H13" s="268">
        <v>36500</v>
      </c>
      <c r="I13" s="268">
        <v>15796</v>
      </c>
      <c r="J13" s="268">
        <v>0</v>
      </c>
      <c r="K13" s="268">
        <v>0</v>
      </c>
      <c r="L13" s="271">
        <v>0</v>
      </c>
      <c r="N13" s="67"/>
    </row>
    <row r="14" spans="1:14" ht="22.5" x14ac:dyDescent="0.25">
      <c r="A14" s="90" t="s">
        <v>87</v>
      </c>
      <c r="B14" s="313">
        <v>2.048</v>
      </c>
      <c r="C14" s="247">
        <v>983829</v>
      </c>
      <c r="D14" s="248">
        <f t="shared" si="0"/>
        <v>40032.1044921875</v>
      </c>
      <c r="E14" s="270">
        <v>545043</v>
      </c>
      <c r="F14" s="268">
        <v>85550</v>
      </c>
      <c r="G14" s="268">
        <v>34207</v>
      </c>
      <c r="H14" s="268">
        <v>319029</v>
      </c>
      <c r="I14" s="268">
        <v>0</v>
      </c>
      <c r="J14" s="268">
        <v>0</v>
      </c>
      <c r="K14" s="268">
        <v>0</v>
      </c>
      <c r="L14" s="271">
        <v>0</v>
      </c>
      <c r="M14" s="67"/>
      <c r="N14" s="67"/>
    </row>
    <row r="15" spans="1:14" x14ac:dyDescent="0.25">
      <c r="A15" s="90" t="s">
        <v>11</v>
      </c>
      <c r="B15" s="313">
        <v>70.714600000000004</v>
      </c>
      <c r="C15" s="247">
        <v>25142874</v>
      </c>
      <c r="D15" s="248">
        <f t="shared" si="0"/>
        <v>29629.517808203676</v>
      </c>
      <c r="E15" s="270">
        <v>16065948</v>
      </c>
      <c r="F15" s="268">
        <v>2368874</v>
      </c>
      <c r="G15" s="268">
        <v>887274</v>
      </c>
      <c r="H15" s="268">
        <v>2017875</v>
      </c>
      <c r="I15" s="268">
        <v>98677</v>
      </c>
      <c r="J15" s="268">
        <v>28284</v>
      </c>
      <c r="K15" s="268">
        <v>411734</v>
      </c>
      <c r="L15" s="271">
        <v>3264208</v>
      </c>
      <c r="M15" s="67"/>
      <c r="N15" s="67"/>
    </row>
    <row r="16" spans="1:14" ht="23.25" thickBot="1" x14ac:dyDescent="0.3">
      <c r="A16" s="87" t="s">
        <v>55</v>
      </c>
      <c r="B16" s="315">
        <v>56.287500000000001</v>
      </c>
      <c r="C16" s="316">
        <v>17726900</v>
      </c>
      <c r="D16" s="317">
        <f t="shared" si="0"/>
        <v>26244.577688948106</v>
      </c>
      <c r="E16" s="261">
        <v>11395452</v>
      </c>
      <c r="F16" s="259">
        <v>2960917</v>
      </c>
      <c r="G16" s="259">
        <v>691065</v>
      </c>
      <c r="H16" s="259">
        <v>1706021</v>
      </c>
      <c r="I16" s="259">
        <v>267395</v>
      </c>
      <c r="J16" s="259">
        <v>64336</v>
      </c>
      <c r="K16" s="259">
        <v>6806</v>
      </c>
      <c r="L16" s="262">
        <v>634908</v>
      </c>
      <c r="M16" s="67"/>
      <c r="N16" s="67"/>
    </row>
    <row r="17" spans="1:13" ht="16.5" thickTop="1" thickBot="1" x14ac:dyDescent="0.3">
      <c r="A17" s="100" t="s">
        <v>59</v>
      </c>
      <c r="B17" s="240">
        <f>SUM(B8:B16)</f>
        <v>440.62930000000006</v>
      </c>
      <c r="C17" s="207">
        <f>SUM(C8:C16)</f>
        <v>146782586</v>
      </c>
      <c r="D17" s="302">
        <f t="shared" si="0"/>
        <v>27760.029046335923</v>
      </c>
      <c r="E17" s="25">
        <f>SUM(E8:E16)</f>
        <v>97923904</v>
      </c>
      <c r="F17" s="26">
        <f>SUM(F8:F16)</f>
        <v>17831584</v>
      </c>
      <c r="G17" s="26">
        <f t="shared" ref="G17:L17" si="1">SUM(G8:G16)</f>
        <v>6556683</v>
      </c>
      <c r="H17" s="26">
        <f t="shared" si="1"/>
        <v>17200608</v>
      </c>
      <c r="I17" s="26">
        <f t="shared" si="1"/>
        <v>2569745</v>
      </c>
      <c r="J17" s="26">
        <f t="shared" si="1"/>
        <v>161365</v>
      </c>
      <c r="K17" s="26">
        <f t="shared" si="1"/>
        <v>532787</v>
      </c>
      <c r="L17" s="303">
        <f t="shared" si="1"/>
        <v>4005910</v>
      </c>
      <c r="M17" s="67"/>
    </row>
    <row r="18" spans="1:13" x14ac:dyDescent="0.25">
      <c r="A18" s="128"/>
      <c r="B18" s="128"/>
      <c r="C18" s="158"/>
      <c r="D18" s="128"/>
      <c r="E18" s="128"/>
      <c r="F18" s="128"/>
      <c r="G18" s="128"/>
      <c r="H18" s="128"/>
      <c r="I18" s="128"/>
      <c r="J18" s="128"/>
      <c r="K18" s="128"/>
      <c r="L18" s="128"/>
    </row>
    <row r="20" spans="1:13" x14ac:dyDescent="0.25">
      <c r="B20" s="80"/>
    </row>
    <row r="21" spans="1:13" x14ac:dyDescent="0.25">
      <c r="B21" s="1" t="s">
        <v>1</v>
      </c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>
      <selection activeCell="H32" sqref="H32"/>
    </sheetView>
  </sheetViews>
  <sheetFormatPr defaultColWidth="9.140625" defaultRowHeight="15" x14ac:dyDescent="0.25"/>
  <cols>
    <col min="1" max="1" width="18.28515625" style="148" customWidth="1"/>
    <col min="2" max="2" width="12.140625" style="1" customWidth="1"/>
    <col min="3" max="3" width="12.7109375" style="1" customWidth="1"/>
    <col min="4" max="4" width="9.28515625" style="1" customWidth="1"/>
    <col min="5" max="5" width="10.140625" style="1" bestFit="1" customWidth="1"/>
    <col min="6" max="6" width="15.85546875" style="1" customWidth="1"/>
    <col min="7" max="7" width="9.28515625" style="1" bestFit="1" customWidth="1"/>
    <col min="8" max="8" width="14.7109375" style="1" customWidth="1"/>
    <col min="9" max="9" width="14.140625" style="1" customWidth="1"/>
    <col min="10" max="10" width="9.28515625" style="1" customWidth="1"/>
    <col min="11" max="16384" width="9.140625" style="1"/>
  </cols>
  <sheetData>
    <row r="2" spans="1:10" x14ac:dyDescent="0.25">
      <c r="A2" s="175"/>
      <c r="C2" s="145"/>
      <c r="D2" s="145"/>
    </row>
    <row r="3" spans="1:10" x14ac:dyDescent="0.25">
      <c r="A3" s="3" t="s">
        <v>89</v>
      </c>
    </row>
    <row r="4" spans="1:10" ht="15.75" thickBot="1" x14ac:dyDescent="0.3"/>
    <row r="5" spans="1:10" ht="15.75" thickBot="1" x14ac:dyDescent="0.3">
      <c r="A5" s="467" t="s">
        <v>60</v>
      </c>
      <c r="B5" s="458" t="s">
        <v>92</v>
      </c>
      <c r="C5" s="459"/>
      <c r="D5" s="460"/>
      <c r="E5" s="470" t="s">
        <v>97</v>
      </c>
      <c r="F5" s="471"/>
      <c r="G5" s="472"/>
      <c r="H5" s="458" t="s">
        <v>113</v>
      </c>
      <c r="I5" s="459"/>
      <c r="J5" s="460"/>
    </row>
    <row r="6" spans="1:10" ht="15" customHeight="1" x14ac:dyDescent="0.25">
      <c r="A6" s="468"/>
      <c r="B6" s="473" t="s">
        <v>61</v>
      </c>
      <c r="C6" s="475" t="s">
        <v>62</v>
      </c>
      <c r="D6" s="477" t="s">
        <v>63</v>
      </c>
      <c r="E6" s="461" t="s">
        <v>61</v>
      </c>
      <c r="F6" s="463" t="s">
        <v>62</v>
      </c>
      <c r="G6" s="465" t="s">
        <v>63</v>
      </c>
      <c r="H6" s="461" t="s">
        <v>61</v>
      </c>
      <c r="I6" s="463" t="s">
        <v>62</v>
      </c>
      <c r="J6" s="465" t="s">
        <v>63</v>
      </c>
    </row>
    <row r="7" spans="1:10" ht="32.25" customHeight="1" thickBot="1" x14ac:dyDescent="0.3">
      <c r="A7" s="469"/>
      <c r="B7" s="474"/>
      <c r="C7" s="476"/>
      <c r="D7" s="478" t="s">
        <v>64</v>
      </c>
      <c r="E7" s="462"/>
      <c r="F7" s="464"/>
      <c r="G7" s="466"/>
      <c r="H7" s="462"/>
      <c r="I7" s="464"/>
      <c r="J7" s="466" t="s">
        <v>64</v>
      </c>
    </row>
    <row r="8" spans="1:10" x14ac:dyDescent="0.25">
      <c r="A8" s="347" t="s">
        <v>24</v>
      </c>
      <c r="B8" s="348">
        <f>'14'!B6+'14'!B17+'14'!B28</f>
        <v>1007.5657999999999</v>
      </c>
      <c r="C8" s="349">
        <f>'14'!C6+'14'!C17+'14'!C28</f>
        <v>316202758.37</v>
      </c>
      <c r="D8" s="350">
        <f>C8/B8/12</f>
        <v>26152.366291280105</v>
      </c>
      <c r="E8" s="351">
        <f>'14'!E6+'14'!E17+'14'!E28</f>
        <v>1038.1143</v>
      </c>
      <c r="F8" s="352">
        <f>'14'!F6+'14'!F17+'14'!F28</f>
        <v>373395385</v>
      </c>
      <c r="G8" s="250">
        <f>F8/E8/12</f>
        <v>29973.849780639121</v>
      </c>
      <c r="H8" s="348">
        <f>'14'!H6+'14'!H17+'14'!H28</f>
        <v>1073.4488000000001</v>
      </c>
      <c r="I8" s="353">
        <f>'14'!I6+'14'!I17+'14'!I28</f>
        <v>420406590</v>
      </c>
      <c r="J8" s="350">
        <f t="shared" ref="J8:J14" si="0">I8/H8/12</f>
        <v>32636.752213985423</v>
      </c>
    </row>
    <row r="9" spans="1:10" x14ac:dyDescent="0.25">
      <c r="A9" s="354" t="s">
        <v>69</v>
      </c>
      <c r="B9" s="178">
        <f>'14'!B7+'14'!B18+'14'!B29</f>
        <v>2417.5086000000001</v>
      </c>
      <c r="C9" s="179">
        <f>'14'!C7+'14'!C18+'14'!C29</f>
        <v>900274805</v>
      </c>
      <c r="D9" s="180">
        <f t="shared" ref="D9:D14" si="1">C9/B9/12</f>
        <v>31033.14727263707</v>
      </c>
      <c r="E9" s="178">
        <f>'14'!E7+'14'!E18+'14'!E29</f>
        <v>2493.5767000000001</v>
      </c>
      <c r="F9" s="247">
        <f>'14'!F7+'14'!F18+'14'!F29</f>
        <v>1068610840</v>
      </c>
      <c r="G9" s="271">
        <f t="shared" ref="G9:G14" si="2">F9/E9/12</f>
        <v>35712.117190272642</v>
      </c>
      <c r="H9" s="178">
        <f>'14'!H7+'14'!H18+'14'!H29</f>
        <v>2596.9081999999999</v>
      </c>
      <c r="I9" s="179">
        <f>'14'!I7+'14'!I18+'14'!I29</f>
        <v>1240235354</v>
      </c>
      <c r="J9" s="180">
        <f t="shared" si="0"/>
        <v>39798.459632368475</v>
      </c>
    </row>
    <row r="10" spans="1:10" x14ac:dyDescent="0.25">
      <c r="A10" s="354" t="s">
        <v>25</v>
      </c>
      <c r="B10" s="178">
        <f>'14'!B8+'14'!B19+'14'!B30</f>
        <v>244.2799</v>
      </c>
      <c r="C10" s="179">
        <f>'14'!C8+'14'!C19+'14'!C30</f>
        <v>81286770</v>
      </c>
      <c r="D10" s="180">
        <f t="shared" si="1"/>
        <v>27730.064978739552</v>
      </c>
      <c r="E10" s="178">
        <f>'14'!E8+'14'!E19+'14'!E30</f>
        <v>245.87980000000002</v>
      </c>
      <c r="F10" s="268">
        <f>'14'!F8+'14'!F19+'14'!F30</f>
        <v>94713159</v>
      </c>
      <c r="G10" s="271">
        <f t="shared" si="2"/>
        <v>32100.088132494002</v>
      </c>
      <c r="H10" s="178">
        <f>'14'!H8+'14'!H19+'14'!H30</f>
        <v>250.26599999999999</v>
      </c>
      <c r="I10" s="179">
        <f>'14'!I8+'14'!I19+'14'!I30</f>
        <v>103665661</v>
      </c>
      <c r="J10" s="180">
        <f t="shared" si="0"/>
        <v>34518.492657146133</v>
      </c>
    </row>
    <row r="11" spans="1:10" x14ac:dyDescent="0.25">
      <c r="A11" s="354" t="s">
        <v>26</v>
      </c>
      <c r="B11" s="178">
        <f>'14'!B9+'14'!B20+'14'!B31</f>
        <v>490.50779999999997</v>
      </c>
      <c r="C11" s="179">
        <f>'14'!C9+'14'!C20+'14'!C31</f>
        <v>108365876</v>
      </c>
      <c r="D11" s="180">
        <f t="shared" si="1"/>
        <v>18410.491467549888</v>
      </c>
      <c r="E11" s="178">
        <f>'14'!E9+'14'!E20+'14'!E31</f>
        <v>493.56659999999999</v>
      </c>
      <c r="F11" s="268">
        <f>'14'!F9+'14'!F20+'14'!F31</f>
        <v>122166497</v>
      </c>
      <c r="G11" s="271">
        <f t="shared" si="2"/>
        <v>20626.479621324997</v>
      </c>
      <c r="H11" s="178">
        <f>'14'!H9+'14'!H20+'14'!H31</f>
        <v>500.47059999999999</v>
      </c>
      <c r="I11" s="179">
        <f>'14'!I9+'14'!I20+'14'!I31</f>
        <v>140734710</v>
      </c>
      <c r="J11" s="180">
        <f t="shared" si="0"/>
        <v>23433.729174101336</v>
      </c>
    </row>
    <row r="12" spans="1:10" x14ac:dyDescent="0.25">
      <c r="A12" s="354" t="s">
        <v>13</v>
      </c>
      <c r="B12" s="178">
        <f>'14'!B10+'14'!B21+'14'!B32</f>
        <v>341.71579999999994</v>
      </c>
      <c r="C12" s="179">
        <f>'14'!C10+'14'!C21+'14'!C32</f>
        <v>127827619</v>
      </c>
      <c r="D12" s="180">
        <f t="shared" si="1"/>
        <v>31172.985221442304</v>
      </c>
      <c r="E12" s="178">
        <f>'14'!E10+'14'!E21+'14'!E32</f>
        <v>342.64029999999997</v>
      </c>
      <c r="F12" s="268">
        <f>'14'!F10+'14'!F21+'14'!F32</f>
        <v>156030364</v>
      </c>
      <c r="G12" s="271">
        <f t="shared" si="2"/>
        <v>37948.047364344871</v>
      </c>
      <c r="H12" s="178">
        <f>'14'!H10+'14'!H21+'14'!H32</f>
        <v>342.2414</v>
      </c>
      <c r="I12" s="179">
        <f>'14'!I10+'14'!I21+'14'!I32</f>
        <v>173765894</v>
      </c>
      <c r="J12" s="180">
        <f t="shared" si="0"/>
        <v>42310.752488350816</v>
      </c>
    </row>
    <row r="13" spans="1:10" ht="15.75" thickBot="1" x14ac:dyDescent="0.3">
      <c r="A13" s="355" t="s">
        <v>15</v>
      </c>
      <c r="B13" s="356">
        <f>'14'!B11+'14'!B22+'14'!B33</f>
        <v>79.123199999999997</v>
      </c>
      <c r="C13" s="357">
        <f>'14'!C11+'14'!C22+'14'!C33</f>
        <v>29261345</v>
      </c>
      <c r="D13" s="358">
        <f t="shared" si="1"/>
        <v>30818.336678327807</v>
      </c>
      <c r="E13" s="181">
        <f>'14'!E11+'14'!E22+'14'!E33</f>
        <v>84.400499999999994</v>
      </c>
      <c r="F13" s="298">
        <f>'14'!F11+'14'!F22+'14'!F33</f>
        <v>36538021</v>
      </c>
      <c r="G13" s="297">
        <f t="shared" si="2"/>
        <v>36076.031342626331</v>
      </c>
      <c r="H13" s="356">
        <f>'14'!H11+'14'!H22+'14'!H33</f>
        <v>88.012200000000007</v>
      </c>
      <c r="I13" s="357">
        <f>'14'!I11+'14'!I22+'14'!I33</f>
        <v>40039810</v>
      </c>
      <c r="J13" s="358">
        <f t="shared" si="0"/>
        <v>37911.230867235827</v>
      </c>
    </row>
    <row r="14" spans="1:10" ht="19.5" customHeight="1" thickBot="1" x14ac:dyDescent="0.3">
      <c r="A14" s="359" t="s">
        <v>65</v>
      </c>
      <c r="B14" s="183">
        <f>SUM(B8:B13)</f>
        <v>4580.7011000000002</v>
      </c>
      <c r="C14" s="184">
        <f>SUM(C8:C13)</f>
        <v>1563219173.3699999</v>
      </c>
      <c r="D14" s="360">
        <f t="shared" si="1"/>
        <v>28438.499173740016</v>
      </c>
      <c r="E14" s="183">
        <f>SUM(E8:E13)</f>
        <v>4698.1781999999994</v>
      </c>
      <c r="F14" s="361">
        <f>SUM(F8:F13)</f>
        <v>1851454266</v>
      </c>
      <c r="G14" s="362">
        <f t="shared" si="2"/>
        <v>32839.932614731391</v>
      </c>
      <c r="H14" s="183">
        <f>SUM(H8:H13)</f>
        <v>4851.3472000000002</v>
      </c>
      <c r="I14" s="363">
        <f>SUM(I8:I13)</f>
        <v>2118848019</v>
      </c>
      <c r="J14" s="185">
        <f t="shared" si="0"/>
        <v>36396.213457985439</v>
      </c>
    </row>
    <row r="15" spans="1:10" x14ac:dyDescent="0.25">
      <c r="B15" s="138"/>
      <c r="C15" s="139"/>
      <c r="D15" s="124"/>
    </row>
    <row r="16" spans="1:10" x14ac:dyDescent="0.25">
      <c r="B16" s="80"/>
      <c r="C16" s="67"/>
      <c r="D16" s="152"/>
    </row>
    <row r="17" spans="2:6" x14ac:dyDescent="0.25">
      <c r="B17" s="67"/>
      <c r="C17" s="67"/>
      <c r="E17" s="67"/>
      <c r="F17" s="67"/>
    </row>
    <row r="18" spans="2:6" x14ac:dyDescent="0.25">
      <c r="B18" s="153"/>
      <c r="C18" s="153"/>
      <c r="E18" s="67"/>
      <c r="F18" s="67"/>
    </row>
    <row r="19" spans="2:6" x14ac:dyDescent="0.25">
      <c r="E19" s="67"/>
      <c r="F19" s="67"/>
    </row>
    <row r="20" spans="2:6" x14ac:dyDescent="0.25">
      <c r="E20" s="67"/>
      <c r="F20" s="67"/>
    </row>
    <row r="21" spans="2:6" x14ac:dyDescent="0.25">
      <c r="E21" s="67"/>
      <c r="F21" s="67"/>
    </row>
    <row r="22" spans="2:6" x14ac:dyDescent="0.25">
      <c r="E22" s="67"/>
      <c r="F22" s="67"/>
    </row>
    <row r="23" spans="2:6" x14ac:dyDescent="0.25">
      <c r="E23" s="67"/>
      <c r="F23" s="67"/>
    </row>
  </sheetData>
  <mergeCells count="13">
    <mergeCell ref="H5:J5"/>
    <mergeCell ref="H6:H7"/>
    <mergeCell ref="I6:I7"/>
    <mergeCell ref="J6:J7"/>
    <mergeCell ref="A5:A7"/>
    <mergeCell ref="B5:D5"/>
    <mergeCell ref="E5:G5"/>
    <mergeCell ref="E6:E7"/>
    <mergeCell ref="F6:F7"/>
    <mergeCell ref="G6:G7"/>
    <mergeCell ref="B6:B7"/>
    <mergeCell ref="C6:C7"/>
    <mergeCell ref="D6:D7"/>
  </mergeCells>
  <pageMargins left="0.7" right="0.7" top="0.78740157499999996" bottom="0.78740157499999996" header="0.3" footer="0.3"/>
  <pageSetup paperSize="9" orientation="landscape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topLeftCell="A4" workbookViewId="0">
      <selection activeCell="N8" sqref="N8"/>
    </sheetView>
  </sheetViews>
  <sheetFormatPr defaultColWidth="9.140625" defaultRowHeight="15" x14ac:dyDescent="0.25"/>
  <cols>
    <col min="1" max="1" width="19.85546875" style="148" customWidth="1"/>
    <col min="2" max="2" width="9.28515625" style="1" customWidth="1"/>
    <col min="3" max="3" width="12.5703125" style="1" customWidth="1"/>
    <col min="4" max="4" width="7.42578125" style="1" customWidth="1"/>
    <col min="5" max="5" width="10.140625" style="1" bestFit="1" customWidth="1"/>
    <col min="6" max="6" width="12.85546875" style="1" customWidth="1"/>
    <col min="7" max="8" width="9.28515625" style="1" bestFit="1" customWidth="1"/>
    <col min="9" max="9" width="12.140625" style="1" customWidth="1"/>
    <col min="10" max="10" width="11.28515625" style="1" customWidth="1"/>
    <col min="11" max="16384" width="9.140625" style="1"/>
  </cols>
  <sheetData>
    <row r="1" spans="1:10" x14ac:dyDescent="0.25">
      <c r="A1" s="147" t="s">
        <v>78</v>
      </c>
    </row>
    <row r="2" spans="1:10" ht="15.75" thickBot="1" x14ac:dyDescent="0.3">
      <c r="A2" s="147" t="s">
        <v>1</v>
      </c>
      <c r="C2" s="1" t="s">
        <v>1</v>
      </c>
      <c r="D2" s="1" t="s">
        <v>1</v>
      </c>
    </row>
    <row r="3" spans="1:10" ht="15.75" thickBot="1" x14ac:dyDescent="0.3">
      <c r="A3" s="479" t="s">
        <v>66</v>
      </c>
      <c r="B3" s="480"/>
      <c r="C3" s="480"/>
      <c r="D3" s="480"/>
      <c r="E3" s="480"/>
      <c r="F3" s="480"/>
      <c r="G3" s="480"/>
      <c r="H3" s="481"/>
      <c r="I3" s="481"/>
      <c r="J3" s="482"/>
    </row>
    <row r="4" spans="1:10" ht="15.75" thickBot="1" x14ac:dyDescent="0.3">
      <c r="A4" s="491" t="s">
        <v>60</v>
      </c>
      <c r="B4" s="483" t="s">
        <v>92</v>
      </c>
      <c r="C4" s="484"/>
      <c r="D4" s="485"/>
      <c r="E4" s="488" t="s">
        <v>97</v>
      </c>
      <c r="F4" s="489"/>
      <c r="G4" s="490"/>
      <c r="H4" s="483" t="s">
        <v>113</v>
      </c>
      <c r="I4" s="484"/>
      <c r="J4" s="485"/>
    </row>
    <row r="5" spans="1:10" ht="60.75" thickBot="1" x14ac:dyDescent="0.3">
      <c r="A5" s="487"/>
      <c r="B5" s="103" t="s">
        <v>61</v>
      </c>
      <c r="C5" s="104" t="s">
        <v>67</v>
      </c>
      <c r="D5" s="368" t="s">
        <v>63</v>
      </c>
      <c r="E5" s="103" t="s">
        <v>61</v>
      </c>
      <c r="F5" s="104" t="s">
        <v>67</v>
      </c>
      <c r="G5" s="368" t="s">
        <v>63</v>
      </c>
      <c r="H5" s="103" t="s">
        <v>61</v>
      </c>
      <c r="I5" s="104" t="s">
        <v>67</v>
      </c>
      <c r="J5" s="368" t="s">
        <v>63</v>
      </c>
    </row>
    <row r="6" spans="1:10" x14ac:dyDescent="0.25">
      <c r="A6" s="369" t="s">
        <v>24</v>
      </c>
      <c r="B6" s="335">
        <v>386.63549999999998</v>
      </c>
      <c r="C6" s="338">
        <v>120073660.37</v>
      </c>
      <c r="D6" s="336">
        <f t="shared" ref="D6:D11" si="0">C6/B6/12</f>
        <v>25880.03006492334</v>
      </c>
      <c r="E6" s="335">
        <v>394.2799</v>
      </c>
      <c r="F6" s="338">
        <v>140339321</v>
      </c>
      <c r="G6" s="341">
        <f>F6/E6/12</f>
        <v>29661.525775639759</v>
      </c>
      <c r="H6" s="335">
        <v>408.9049</v>
      </c>
      <c r="I6" s="338">
        <v>156094399</v>
      </c>
      <c r="J6" s="336">
        <f>I6/H6/12</f>
        <v>31811.471526345937</v>
      </c>
    </row>
    <row r="7" spans="1:10" x14ac:dyDescent="0.25">
      <c r="A7" s="370" t="s">
        <v>69</v>
      </c>
      <c r="B7" s="339">
        <v>852.60829999999999</v>
      </c>
      <c r="C7" s="340">
        <v>317592692</v>
      </c>
      <c r="D7" s="371">
        <f t="shared" si="0"/>
        <v>31041.28550785474</v>
      </c>
      <c r="E7" s="339">
        <v>885.50409999999999</v>
      </c>
      <c r="F7" s="340">
        <v>379078606</v>
      </c>
      <c r="G7" s="341">
        <f>F7/E7/12</f>
        <v>35674.463656727654</v>
      </c>
      <c r="H7" s="339">
        <v>926.90070000000003</v>
      </c>
      <c r="I7" s="340">
        <v>446501057</v>
      </c>
      <c r="J7" s="341">
        <f t="shared" ref="J7:J12" si="1">I7/H7/12</f>
        <v>40142.834520101955</v>
      </c>
    </row>
    <row r="8" spans="1:10" x14ac:dyDescent="0.25">
      <c r="A8" s="370" t="s">
        <v>25</v>
      </c>
      <c r="B8" s="339">
        <v>111.88849999999999</v>
      </c>
      <c r="C8" s="340">
        <v>36961358</v>
      </c>
      <c r="D8" s="371">
        <f t="shared" si="0"/>
        <v>27528.41593789055</v>
      </c>
      <c r="E8" s="339">
        <v>112.79</v>
      </c>
      <c r="F8" s="340">
        <v>42702330</v>
      </c>
      <c r="G8" s="341">
        <f>F8/E8/12</f>
        <v>31550.026598102664</v>
      </c>
      <c r="H8" s="339">
        <v>114.4717</v>
      </c>
      <c r="I8" s="340">
        <v>46846673</v>
      </c>
      <c r="J8" s="341">
        <f t="shared" si="1"/>
        <v>34103.533158559425</v>
      </c>
    </row>
    <row r="9" spans="1:10" x14ac:dyDescent="0.25">
      <c r="A9" s="370" t="s">
        <v>26</v>
      </c>
      <c r="B9" s="339">
        <v>182.82239999999999</v>
      </c>
      <c r="C9" s="340">
        <v>41088365</v>
      </c>
      <c r="D9" s="371">
        <f t="shared" si="0"/>
        <v>18728.724798857616</v>
      </c>
      <c r="E9" s="339">
        <v>186.7567</v>
      </c>
      <c r="F9" s="340">
        <v>45832515</v>
      </c>
      <c r="G9" s="341">
        <f t="shared" ref="G9:G12" si="2">F9/E9/12</f>
        <v>20451.080202209614</v>
      </c>
      <c r="H9" s="339">
        <v>185.21270000000001</v>
      </c>
      <c r="I9" s="340">
        <v>52284016</v>
      </c>
      <c r="J9" s="341">
        <f t="shared" si="1"/>
        <v>23524.311957729322</v>
      </c>
    </row>
    <row r="10" spans="1:10" x14ac:dyDescent="0.25">
      <c r="A10" s="370" t="s">
        <v>13</v>
      </c>
      <c r="B10" s="339">
        <v>133.85149999999999</v>
      </c>
      <c r="C10" s="340">
        <v>44970400</v>
      </c>
      <c r="D10" s="371">
        <f t="shared" si="0"/>
        <v>27997.693961840796</v>
      </c>
      <c r="E10" s="339">
        <v>133.38329999999999</v>
      </c>
      <c r="F10" s="340">
        <v>60682004</v>
      </c>
      <c r="G10" s="341">
        <f t="shared" si="2"/>
        <v>37912.044961150816</v>
      </c>
      <c r="H10" s="339">
        <v>132.5454</v>
      </c>
      <c r="I10" s="340">
        <v>67842165</v>
      </c>
      <c r="J10" s="341">
        <f t="shared" si="1"/>
        <v>42653.413471912267</v>
      </c>
    </row>
    <row r="11" spans="1:10" ht="15.75" thickBot="1" x14ac:dyDescent="0.3">
      <c r="A11" s="372" t="s">
        <v>15</v>
      </c>
      <c r="B11" s="342">
        <v>25.905799999999999</v>
      </c>
      <c r="C11" s="373">
        <v>9524337</v>
      </c>
      <c r="D11" s="371">
        <f t="shared" si="0"/>
        <v>30637.723984590324</v>
      </c>
      <c r="E11" s="342">
        <v>28.396899999999999</v>
      </c>
      <c r="F11" s="373">
        <v>12481761</v>
      </c>
      <c r="G11" s="374">
        <f t="shared" si="2"/>
        <v>36628.88378661051</v>
      </c>
      <c r="H11" s="342">
        <v>29.3657</v>
      </c>
      <c r="I11" s="373">
        <v>13040991</v>
      </c>
      <c r="J11" s="374">
        <f t="shared" si="1"/>
        <v>37007.435545551438</v>
      </c>
    </row>
    <row r="12" spans="1:10" ht="15.75" thickBot="1" x14ac:dyDescent="0.3">
      <c r="A12" s="375" t="s">
        <v>65</v>
      </c>
      <c r="B12" s="343">
        <f>SUM(B6:B11)</f>
        <v>1693.712</v>
      </c>
      <c r="C12" s="344">
        <f>SUM(C6:C11)</f>
        <v>570210812.37</v>
      </c>
      <c r="D12" s="346">
        <f>C12/B12/12</f>
        <v>28055.281947285021</v>
      </c>
      <c r="E12" s="343">
        <f>SUM(E6:E11)</f>
        <v>1741.1108999999999</v>
      </c>
      <c r="F12" s="344">
        <f>SUM(F6:F11)</f>
        <v>681116537</v>
      </c>
      <c r="G12" s="346">
        <f t="shared" si="2"/>
        <v>32599.710573672633</v>
      </c>
      <c r="H12" s="343">
        <f>SUM(H6:H11)</f>
        <v>1797.4011000000003</v>
      </c>
      <c r="I12" s="345">
        <f>SUM(I6:I11)</f>
        <v>782609301</v>
      </c>
      <c r="J12" s="376">
        <f t="shared" si="1"/>
        <v>36284.300565967154</v>
      </c>
    </row>
    <row r="13" spans="1:10" ht="15.75" thickBot="1" x14ac:dyDescent="0.3">
      <c r="A13" s="367"/>
      <c r="B13" s="367"/>
      <c r="C13" s="367"/>
      <c r="D13" s="367"/>
      <c r="E13" s="367"/>
      <c r="F13" s="367"/>
      <c r="G13" s="367"/>
      <c r="H13" s="367"/>
      <c r="I13" s="367"/>
      <c r="J13" s="367"/>
    </row>
    <row r="14" spans="1:10" ht="15.75" thickBot="1" x14ac:dyDescent="0.3">
      <c r="A14" s="492" t="s">
        <v>68</v>
      </c>
      <c r="B14" s="493"/>
      <c r="C14" s="493"/>
      <c r="D14" s="493"/>
      <c r="E14" s="493"/>
      <c r="F14" s="493"/>
      <c r="G14" s="493"/>
      <c r="H14" s="481"/>
      <c r="I14" s="481"/>
      <c r="J14" s="482"/>
    </row>
    <row r="15" spans="1:10" ht="15.75" thickBot="1" x14ac:dyDescent="0.3">
      <c r="A15" s="491" t="s">
        <v>60</v>
      </c>
      <c r="B15" s="483" t="s">
        <v>92</v>
      </c>
      <c r="C15" s="484"/>
      <c r="D15" s="485"/>
      <c r="E15" s="488" t="s">
        <v>97</v>
      </c>
      <c r="F15" s="489"/>
      <c r="G15" s="490"/>
      <c r="H15" s="483" t="s">
        <v>113</v>
      </c>
      <c r="I15" s="484"/>
      <c r="J15" s="485"/>
    </row>
    <row r="16" spans="1:10" ht="60.75" thickBot="1" x14ac:dyDescent="0.3">
      <c r="A16" s="487"/>
      <c r="B16" s="103" t="s">
        <v>61</v>
      </c>
      <c r="C16" s="104" t="s">
        <v>67</v>
      </c>
      <c r="D16" s="368" t="s">
        <v>63</v>
      </c>
      <c r="E16" s="103" t="s">
        <v>61</v>
      </c>
      <c r="F16" s="104" t="s">
        <v>67</v>
      </c>
      <c r="G16" s="368" t="s">
        <v>63</v>
      </c>
      <c r="H16" s="103" t="s">
        <v>61</v>
      </c>
      <c r="I16" s="104" t="s">
        <v>67</v>
      </c>
      <c r="J16" s="368" t="s">
        <v>63</v>
      </c>
    </row>
    <row r="17" spans="1:10" x14ac:dyDescent="0.25">
      <c r="A17" s="369" t="s">
        <v>24</v>
      </c>
      <c r="B17" s="337">
        <v>306.17829999999998</v>
      </c>
      <c r="C17" s="380">
        <v>96793346</v>
      </c>
      <c r="D17" s="371">
        <f t="shared" ref="D17:D22" si="3">C17/B17/12</f>
        <v>26344.493279460585</v>
      </c>
      <c r="E17" s="337">
        <v>319.40719999999999</v>
      </c>
      <c r="F17" s="380">
        <v>116035615</v>
      </c>
      <c r="G17" s="341">
        <f>F17/E17/12</f>
        <v>30273.690083796901</v>
      </c>
      <c r="H17" s="337">
        <v>331.4162</v>
      </c>
      <c r="I17" s="380">
        <v>131661007</v>
      </c>
      <c r="J17" s="371">
        <f>I17/H17/12</f>
        <v>33105.655617719756</v>
      </c>
    </row>
    <row r="18" spans="1:10" x14ac:dyDescent="0.25">
      <c r="A18" s="370" t="s">
        <v>69</v>
      </c>
      <c r="B18" s="339">
        <v>822.00059999999996</v>
      </c>
      <c r="C18" s="340">
        <v>298832805</v>
      </c>
      <c r="D18" s="371">
        <f t="shared" si="3"/>
        <v>30295.274419507725</v>
      </c>
      <c r="E18" s="339">
        <v>841.86810000000003</v>
      </c>
      <c r="F18" s="340">
        <v>353537265</v>
      </c>
      <c r="G18" s="341">
        <f>F18/E18/12</f>
        <v>34995.31428973256</v>
      </c>
      <c r="H18" s="339">
        <v>875.06089999999995</v>
      </c>
      <c r="I18" s="340">
        <v>407722241</v>
      </c>
      <c r="J18" s="371">
        <f t="shared" ref="J18:J23" si="4">I18/H18/12</f>
        <v>38827.987191139116</v>
      </c>
    </row>
    <row r="19" spans="1:10" x14ac:dyDescent="0.25">
      <c r="A19" s="370" t="s">
        <v>25</v>
      </c>
      <c r="B19" s="339">
        <v>69.415599999999998</v>
      </c>
      <c r="C19" s="340">
        <v>23501490</v>
      </c>
      <c r="D19" s="371">
        <f t="shared" si="3"/>
        <v>28213.506762168734</v>
      </c>
      <c r="E19" s="339">
        <v>69.888300000000001</v>
      </c>
      <c r="F19" s="340">
        <v>27457876</v>
      </c>
      <c r="G19" s="341">
        <f>F19/E19/12</f>
        <v>32740.191610517544</v>
      </c>
      <c r="H19" s="339">
        <v>72.1267</v>
      </c>
      <c r="I19" s="340">
        <v>30009563</v>
      </c>
      <c r="J19" s="371">
        <f t="shared" si="4"/>
        <v>34672.276933045134</v>
      </c>
    </row>
    <row r="20" spans="1:10" x14ac:dyDescent="0.25">
      <c r="A20" s="370" t="s">
        <v>26</v>
      </c>
      <c r="B20" s="339">
        <v>152.071</v>
      </c>
      <c r="C20" s="340">
        <v>32161860</v>
      </c>
      <c r="D20" s="371">
        <f t="shared" si="3"/>
        <v>17624.366249975341</v>
      </c>
      <c r="E20" s="339">
        <v>151.65559999999999</v>
      </c>
      <c r="F20" s="340">
        <v>37126912</v>
      </c>
      <c r="G20" s="341">
        <f t="shared" ref="G20:G23" si="5">F20/E20/12</f>
        <v>20400.89079027305</v>
      </c>
      <c r="H20" s="339">
        <v>155.33760000000001</v>
      </c>
      <c r="I20" s="340">
        <v>43549864</v>
      </c>
      <c r="J20" s="371">
        <f t="shared" si="4"/>
        <v>23363.01921320616</v>
      </c>
    </row>
    <row r="21" spans="1:10" x14ac:dyDescent="0.25">
      <c r="A21" s="370" t="s">
        <v>13</v>
      </c>
      <c r="B21" s="339">
        <v>94.170100000000005</v>
      </c>
      <c r="C21" s="340">
        <v>35393193</v>
      </c>
      <c r="D21" s="371">
        <f t="shared" si="3"/>
        <v>31320.267792006165</v>
      </c>
      <c r="E21" s="339">
        <v>94.243799999999993</v>
      </c>
      <c r="F21" s="340">
        <v>41437672</v>
      </c>
      <c r="G21" s="341">
        <f t="shared" si="5"/>
        <v>36640.493415305129</v>
      </c>
      <c r="H21" s="339">
        <v>95.081900000000005</v>
      </c>
      <c r="I21" s="340">
        <v>45811789</v>
      </c>
      <c r="J21" s="371">
        <f t="shared" si="4"/>
        <v>40151.165293639831</v>
      </c>
    </row>
    <row r="22" spans="1:10" ht="15.75" thickBot="1" x14ac:dyDescent="0.3">
      <c r="A22" s="372" t="s">
        <v>15</v>
      </c>
      <c r="B22" s="342">
        <v>27.335599999999999</v>
      </c>
      <c r="C22" s="373">
        <v>9748016</v>
      </c>
      <c r="D22" s="371">
        <f t="shared" si="3"/>
        <v>29717.096631011085</v>
      </c>
      <c r="E22" s="342">
        <v>28.708400000000001</v>
      </c>
      <c r="F22" s="373">
        <v>12027472</v>
      </c>
      <c r="G22" s="374">
        <f t="shared" si="5"/>
        <v>34912.754919582185</v>
      </c>
      <c r="H22" s="342">
        <v>31.417000000000002</v>
      </c>
      <c r="I22" s="373">
        <v>14132822</v>
      </c>
      <c r="J22" s="393">
        <f t="shared" si="4"/>
        <v>37487.193769827376</v>
      </c>
    </row>
    <row r="23" spans="1:10" ht="15.75" thickBot="1" x14ac:dyDescent="0.3">
      <c r="A23" s="375" t="s">
        <v>65</v>
      </c>
      <c r="B23" s="343">
        <f>SUM(B17:B22)</f>
        <v>1471.1711999999998</v>
      </c>
      <c r="C23" s="344">
        <f>SUM(C17:C22)</f>
        <v>496430710</v>
      </c>
      <c r="D23" s="346">
        <f>C23/B23/12</f>
        <v>28119.926377931639</v>
      </c>
      <c r="E23" s="343">
        <f>SUM(E17:E22)</f>
        <v>1505.7714000000001</v>
      </c>
      <c r="F23" s="344">
        <f>SUM(F17:F22)</f>
        <v>587622812</v>
      </c>
      <c r="G23" s="346">
        <f t="shared" si="5"/>
        <v>32520.585572728145</v>
      </c>
      <c r="H23" s="343">
        <f>SUM(H17:H22)</f>
        <v>1560.4403</v>
      </c>
      <c r="I23" s="344">
        <f>SUM(I17:I22)</f>
        <v>672887286</v>
      </c>
      <c r="J23" s="346">
        <f t="shared" si="4"/>
        <v>35934.691317572353</v>
      </c>
    </row>
    <row r="24" spans="1:10" ht="15.75" thickBot="1" x14ac:dyDescent="0.3"/>
    <row r="25" spans="1:10" ht="15.75" thickBot="1" x14ac:dyDescent="0.3">
      <c r="A25" s="479" t="s">
        <v>70</v>
      </c>
      <c r="B25" s="480"/>
      <c r="C25" s="480"/>
      <c r="D25" s="480"/>
      <c r="E25" s="480"/>
      <c r="F25" s="480"/>
      <c r="G25" s="480"/>
      <c r="H25" s="481"/>
      <c r="I25" s="481"/>
      <c r="J25" s="482"/>
    </row>
    <row r="26" spans="1:10" ht="15.75" thickBot="1" x14ac:dyDescent="0.3">
      <c r="A26" s="486" t="s">
        <v>60</v>
      </c>
      <c r="B26" s="483" t="s">
        <v>92</v>
      </c>
      <c r="C26" s="484"/>
      <c r="D26" s="485"/>
      <c r="E26" s="488" t="s">
        <v>97</v>
      </c>
      <c r="F26" s="489"/>
      <c r="G26" s="490"/>
      <c r="H26" s="483" t="s">
        <v>113</v>
      </c>
      <c r="I26" s="484"/>
      <c r="J26" s="485"/>
    </row>
    <row r="27" spans="1:10" ht="60.75" thickBot="1" x14ac:dyDescent="0.3">
      <c r="A27" s="487"/>
      <c r="B27" s="103" t="s">
        <v>61</v>
      </c>
      <c r="C27" s="104" t="s">
        <v>67</v>
      </c>
      <c r="D27" s="368" t="s">
        <v>63</v>
      </c>
      <c r="E27" s="103" t="s">
        <v>61</v>
      </c>
      <c r="F27" s="104" t="s">
        <v>67</v>
      </c>
      <c r="G27" s="368" t="s">
        <v>63</v>
      </c>
      <c r="H27" s="103" t="s">
        <v>61</v>
      </c>
      <c r="I27" s="104" t="s">
        <v>67</v>
      </c>
      <c r="J27" s="368" t="s">
        <v>63</v>
      </c>
    </row>
    <row r="28" spans="1:10" x14ac:dyDescent="0.25">
      <c r="A28" s="369" t="s">
        <v>24</v>
      </c>
      <c r="B28" s="337">
        <v>314.75200000000001</v>
      </c>
      <c r="C28" s="394">
        <v>99335752</v>
      </c>
      <c r="D28" s="371">
        <f t="shared" ref="D28:D33" si="6">C28/B28/12</f>
        <v>26300.005506981153</v>
      </c>
      <c r="E28" s="337">
        <v>324.42720000000003</v>
      </c>
      <c r="F28" s="394">
        <v>117020449</v>
      </c>
      <c r="G28" s="341">
        <f>F28/E28/12</f>
        <v>30058.219789627172</v>
      </c>
      <c r="H28" s="337">
        <v>333.1277</v>
      </c>
      <c r="I28" s="394">
        <v>132651184</v>
      </c>
      <c r="J28" s="371">
        <f>I28/H28/12</f>
        <v>33183.266757262558</v>
      </c>
    </row>
    <row r="29" spans="1:10" x14ac:dyDescent="0.25">
      <c r="A29" s="370" t="s">
        <v>69</v>
      </c>
      <c r="B29" s="339">
        <v>742.89970000000005</v>
      </c>
      <c r="C29" s="340">
        <v>283849308</v>
      </c>
      <c r="D29" s="371">
        <f t="shared" si="6"/>
        <v>31840.245728999482</v>
      </c>
      <c r="E29" s="339">
        <v>766.20450000000005</v>
      </c>
      <c r="F29" s="340">
        <v>335994969</v>
      </c>
      <c r="G29" s="341">
        <f t="shared" ref="G29:G34" si="7">F29/E29/12</f>
        <v>36543.221489824187</v>
      </c>
      <c r="H29" s="339">
        <v>794.94659999999999</v>
      </c>
      <c r="I29" s="340">
        <v>386012056</v>
      </c>
      <c r="J29" s="371">
        <f t="shared" ref="J29:J34" si="8">I29/H29/12</f>
        <v>40465.197704265083</v>
      </c>
    </row>
    <row r="30" spans="1:10" x14ac:dyDescent="0.25">
      <c r="A30" s="370" t="s">
        <v>25</v>
      </c>
      <c r="B30" s="339">
        <v>62.9758</v>
      </c>
      <c r="C30" s="340">
        <v>20823922</v>
      </c>
      <c r="D30" s="371">
        <f t="shared" si="6"/>
        <v>27555.455164258863</v>
      </c>
      <c r="E30" s="339">
        <v>63.201500000000003</v>
      </c>
      <c r="F30" s="340">
        <v>24552953</v>
      </c>
      <c r="G30" s="341">
        <f t="shared" si="7"/>
        <v>32373.905946325114</v>
      </c>
      <c r="H30" s="339">
        <v>63.6676</v>
      </c>
      <c r="I30" s="340">
        <v>26809425</v>
      </c>
      <c r="J30" s="371">
        <f t="shared" si="8"/>
        <v>35090.356005252281</v>
      </c>
    </row>
    <row r="31" spans="1:10" x14ac:dyDescent="0.25">
      <c r="A31" s="370" t="s">
        <v>26</v>
      </c>
      <c r="B31" s="339">
        <v>155.61439999999999</v>
      </c>
      <c r="C31" s="340">
        <v>35115651</v>
      </c>
      <c r="D31" s="371">
        <f t="shared" si="6"/>
        <v>18804.842289659569</v>
      </c>
      <c r="E31" s="339">
        <v>155.15430000000001</v>
      </c>
      <c r="F31" s="340">
        <v>39207070</v>
      </c>
      <c r="G31" s="341">
        <f t="shared" si="7"/>
        <v>21058.106886714279</v>
      </c>
      <c r="H31" s="339">
        <v>159.9203</v>
      </c>
      <c r="I31" s="340">
        <v>44900830</v>
      </c>
      <c r="J31" s="371">
        <f t="shared" si="8"/>
        <v>23397.503839933601</v>
      </c>
    </row>
    <row r="32" spans="1:10" x14ac:dyDescent="0.25">
      <c r="A32" s="370" t="s">
        <v>13</v>
      </c>
      <c r="B32" s="339">
        <v>113.6942</v>
      </c>
      <c r="C32" s="340">
        <v>47464026</v>
      </c>
      <c r="D32" s="371">
        <f t="shared" si="6"/>
        <v>34789.246065322593</v>
      </c>
      <c r="E32" s="339">
        <v>115.0132</v>
      </c>
      <c r="F32" s="340">
        <v>53910688</v>
      </c>
      <c r="G32" s="341">
        <f t="shared" si="7"/>
        <v>39061.232391876176</v>
      </c>
      <c r="H32" s="339">
        <v>114.61409999999999</v>
      </c>
      <c r="I32" s="340">
        <v>60111940</v>
      </c>
      <c r="J32" s="371">
        <f t="shared" si="8"/>
        <v>43706.03907663485</v>
      </c>
    </row>
    <row r="33" spans="1:10" ht="15.75" thickBot="1" x14ac:dyDescent="0.3">
      <c r="A33" s="372" t="s">
        <v>15</v>
      </c>
      <c r="B33" s="342">
        <v>25.881799999999998</v>
      </c>
      <c r="C33" s="373">
        <v>9988992</v>
      </c>
      <c r="D33" s="371">
        <f t="shared" si="6"/>
        <v>32162.214374579824</v>
      </c>
      <c r="E33" s="342">
        <v>27.295200000000001</v>
      </c>
      <c r="F33" s="373">
        <v>12028788</v>
      </c>
      <c r="G33" s="374">
        <f t="shared" si="7"/>
        <v>36724.369119845251</v>
      </c>
      <c r="H33" s="342">
        <v>27.229500000000002</v>
      </c>
      <c r="I33" s="373">
        <v>12865997</v>
      </c>
      <c r="J33" s="393">
        <f t="shared" si="8"/>
        <v>39375.178268666947</v>
      </c>
    </row>
    <row r="34" spans="1:10" ht="15.75" thickBot="1" x14ac:dyDescent="0.3">
      <c r="A34" s="375" t="s">
        <v>65</v>
      </c>
      <c r="B34" s="343">
        <f>SUM(B28:B33)</f>
        <v>1415.8179</v>
      </c>
      <c r="C34" s="344">
        <f>SUM(C28:C33)</f>
        <v>496577651</v>
      </c>
      <c r="D34" s="346">
        <f>C34/B34/12</f>
        <v>29227.961390138284</v>
      </c>
      <c r="E34" s="343">
        <f>SUM(E28:E33)</f>
        <v>1451.2959000000001</v>
      </c>
      <c r="F34" s="345">
        <f>SUM(F28:F33)</f>
        <v>582714917</v>
      </c>
      <c r="G34" s="346">
        <f t="shared" si="7"/>
        <v>33459.459519362434</v>
      </c>
      <c r="H34" s="343">
        <f>SUM(H28:H33)</f>
        <v>1493.5057999999999</v>
      </c>
      <c r="I34" s="345">
        <f>SUM(I28:I33)</f>
        <v>663351432</v>
      </c>
      <c r="J34" s="344">
        <f t="shared" si="8"/>
        <v>37013.104334780626</v>
      </c>
    </row>
    <row r="35" spans="1:10" ht="15.75" thickBot="1" x14ac:dyDescent="0.3">
      <c r="A35" s="377"/>
      <c r="B35" s="377"/>
      <c r="C35" s="377"/>
      <c r="D35" s="377"/>
      <c r="E35" s="377"/>
      <c r="F35" s="377"/>
      <c r="G35" s="377"/>
      <c r="H35" s="377"/>
      <c r="I35" s="377"/>
      <c r="J35" s="377"/>
    </row>
    <row r="36" spans="1:10" ht="15.75" thickBot="1" x14ac:dyDescent="0.3">
      <c r="A36" s="497" t="s">
        <v>71</v>
      </c>
      <c r="B36" s="324" t="s">
        <v>92</v>
      </c>
      <c r="C36" s="325"/>
      <c r="D36" s="326"/>
      <c r="E36" s="494" t="s">
        <v>97</v>
      </c>
      <c r="F36" s="495"/>
      <c r="G36" s="496"/>
      <c r="H36" s="494" t="s">
        <v>113</v>
      </c>
      <c r="I36" s="495"/>
      <c r="J36" s="496"/>
    </row>
    <row r="37" spans="1:10" ht="15.75" thickBot="1" x14ac:dyDescent="0.3">
      <c r="A37" s="498"/>
      <c r="B37" s="395">
        <f>B12+B23+B34</f>
        <v>4580.7011000000002</v>
      </c>
      <c r="C37" s="396">
        <f>C12+C23+C34</f>
        <v>1563219173.3699999</v>
      </c>
      <c r="D37" s="397">
        <f>C37/B37/12</f>
        <v>28438.499173740016</v>
      </c>
      <c r="E37" s="398">
        <f>E12+E23+E34</f>
        <v>4698.1782000000003</v>
      </c>
      <c r="F37" s="399">
        <f>F12+F23+F34</f>
        <v>1851454266</v>
      </c>
      <c r="G37" s="400">
        <f>F37/E37/12</f>
        <v>32839.932614731384</v>
      </c>
      <c r="H37" s="398">
        <f>H12+H23+H34</f>
        <v>4851.3472000000002</v>
      </c>
      <c r="I37" s="399">
        <f>I12+I23+I34</f>
        <v>2118848019</v>
      </c>
      <c r="J37" s="400">
        <f>I37/H37/12</f>
        <v>36396.213457985439</v>
      </c>
    </row>
  </sheetData>
  <mergeCells count="18">
    <mergeCell ref="H36:J36"/>
    <mergeCell ref="A4:A5"/>
    <mergeCell ref="H4:J4"/>
    <mergeCell ref="B4:D4"/>
    <mergeCell ref="E4:G4"/>
    <mergeCell ref="E36:G36"/>
    <mergeCell ref="A36:A37"/>
    <mergeCell ref="A3:J3"/>
    <mergeCell ref="H15:J15"/>
    <mergeCell ref="B15:D15"/>
    <mergeCell ref="A26:A27"/>
    <mergeCell ref="H26:J26"/>
    <mergeCell ref="B26:D26"/>
    <mergeCell ref="A25:J25"/>
    <mergeCell ref="E15:G15"/>
    <mergeCell ref="E26:G26"/>
    <mergeCell ref="A15:A16"/>
    <mergeCell ref="A14:J14"/>
  </mergeCells>
  <pageMargins left="0.23622047244094491" right="0.23622047244094491" top="0.78740157480314965" bottom="0.78740157480314965" header="0.31496062992125984" footer="0.31496062992125984"/>
  <pageSetup paperSize="9" scale="82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2"/>
  <sheetViews>
    <sheetView workbookViewId="0">
      <selection activeCell="O11" sqref="O11"/>
    </sheetView>
  </sheetViews>
  <sheetFormatPr defaultColWidth="9.140625" defaultRowHeight="15" x14ac:dyDescent="0.25"/>
  <cols>
    <col min="1" max="1" width="13.5703125" style="148" customWidth="1"/>
    <col min="2" max="2" width="12.140625" style="2" customWidth="1"/>
    <col min="3" max="3" width="14.140625" style="2" customWidth="1"/>
    <col min="4" max="4" width="12.140625" style="2" customWidth="1"/>
    <col min="5" max="5" width="13.5703125" style="1" bestFit="1" customWidth="1"/>
    <col min="6" max="6" width="13.140625" style="1" customWidth="1"/>
    <col min="7" max="7" width="11.85546875" style="1" customWidth="1"/>
    <col min="8" max="8" width="13" style="1" customWidth="1"/>
    <col min="9" max="9" width="12.7109375" style="1" customWidth="1"/>
    <col min="10" max="10" width="11.85546875" style="1" customWidth="1"/>
    <col min="11" max="16384" width="9.140625" style="1"/>
  </cols>
  <sheetData>
    <row r="3" spans="1:10" x14ac:dyDescent="0.25">
      <c r="A3" s="176" t="s">
        <v>91</v>
      </c>
      <c r="B3" s="177"/>
      <c r="C3" s="177"/>
      <c r="D3" s="177"/>
    </row>
    <row r="4" spans="1:10" ht="15.75" thickBot="1" x14ac:dyDescent="0.3"/>
    <row r="5" spans="1:10" ht="15.75" thickBot="1" x14ac:dyDescent="0.3">
      <c r="A5" s="508" t="s">
        <v>60</v>
      </c>
      <c r="B5" s="488" t="s">
        <v>92</v>
      </c>
      <c r="C5" s="489"/>
      <c r="D5" s="490"/>
      <c r="E5" s="499" t="s">
        <v>97</v>
      </c>
      <c r="F5" s="500"/>
      <c r="G5" s="501"/>
      <c r="H5" s="499" t="s">
        <v>113</v>
      </c>
      <c r="I5" s="500"/>
      <c r="J5" s="501"/>
    </row>
    <row r="6" spans="1:10" ht="15" customHeight="1" x14ac:dyDescent="0.25">
      <c r="A6" s="509"/>
      <c r="B6" s="515" t="s">
        <v>61</v>
      </c>
      <c r="C6" s="517" t="s">
        <v>62</v>
      </c>
      <c r="D6" s="519" t="s">
        <v>63</v>
      </c>
      <c r="E6" s="511" t="s">
        <v>61</v>
      </c>
      <c r="F6" s="504" t="s">
        <v>62</v>
      </c>
      <c r="G6" s="513" t="s">
        <v>63</v>
      </c>
      <c r="H6" s="502" t="s">
        <v>61</v>
      </c>
      <c r="I6" s="504" t="s">
        <v>62</v>
      </c>
      <c r="J6" s="506" t="s">
        <v>63</v>
      </c>
    </row>
    <row r="7" spans="1:10" ht="32.25" customHeight="1" thickBot="1" x14ac:dyDescent="0.3">
      <c r="A7" s="510"/>
      <c r="B7" s="516"/>
      <c r="C7" s="518"/>
      <c r="D7" s="520" t="s">
        <v>64</v>
      </c>
      <c r="E7" s="512"/>
      <c r="F7" s="505"/>
      <c r="G7" s="514"/>
      <c r="H7" s="503"/>
      <c r="I7" s="505"/>
      <c r="J7" s="507"/>
    </row>
    <row r="8" spans="1:10" x14ac:dyDescent="0.2">
      <c r="A8" s="333" t="s">
        <v>13</v>
      </c>
      <c r="B8" s="318">
        <f>'16'!B7+'16'!B22+'16'!B37</f>
        <v>24.4741</v>
      </c>
      <c r="C8" s="106">
        <f>'16'!C7+'16'!C22+'16'!C37</f>
        <v>9137965</v>
      </c>
      <c r="D8" s="107">
        <f>C8/B8/12</f>
        <v>31114.405977475511</v>
      </c>
      <c r="E8" s="379">
        <f>'16'!E7+'16'!E22+'16'!E37</f>
        <v>4.2222999999999997</v>
      </c>
      <c r="F8" s="380">
        <f>'16'!F7+'16'!F22+'16'!F37</f>
        <v>2009265</v>
      </c>
      <c r="G8" s="381">
        <f>F8/E8/12</f>
        <v>39655.815550766172</v>
      </c>
      <c r="H8" s="382">
        <f>'16'!H7+'16'!H22+'16'!H37</f>
        <v>3.8081</v>
      </c>
      <c r="I8" s="383">
        <f>'16'!I7+'16'!I22+'16'!I37</f>
        <v>1775966</v>
      </c>
      <c r="J8" s="371">
        <f>I8/H8/12</f>
        <v>38863.781588368649</v>
      </c>
    </row>
    <row r="9" spans="1:10" x14ac:dyDescent="0.2">
      <c r="A9" s="53" t="s">
        <v>9</v>
      </c>
      <c r="B9" s="318">
        <f>'16'!B8+'16'!B23+'16'!B38</f>
        <v>1148.4140000000002</v>
      </c>
      <c r="C9" s="106">
        <f>'16'!C8+'16'!C23+'16'!C38</f>
        <v>456266709</v>
      </c>
      <c r="D9" s="107">
        <f t="shared" ref="D9:D17" si="0">C9/B9/12</f>
        <v>33108.46589296194</v>
      </c>
      <c r="E9" s="384">
        <f>'16'!E8+'16'!E23+'16'!E38</f>
        <v>1119.7669000000001</v>
      </c>
      <c r="F9" s="340">
        <f>'16'!F8+'16'!F23+'16'!F38</f>
        <v>509961193</v>
      </c>
      <c r="G9" s="381">
        <f t="shared" ref="G9:G18" si="1">F9/E9/12</f>
        <v>37951.43978923947</v>
      </c>
      <c r="H9" s="385">
        <f>'16'!H8+'16'!H23+'16'!H38</f>
        <v>1098.2868000000001</v>
      </c>
      <c r="I9" s="386">
        <f>'16'!I8+'16'!I23+'16'!I38</f>
        <v>562872034</v>
      </c>
      <c r="J9" s="371">
        <f t="shared" ref="J9:J17" si="2">I9/H9/12</f>
        <v>42708.33705124502</v>
      </c>
    </row>
    <row r="10" spans="1:10" x14ac:dyDescent="0.2">
      <c r="A10" s="53" t="s">
        <v>10</v>
      </c>
      <c r="B10" s="318">
        <f>'16'!B9+'16'!B24+'16'!B39</f>
        <v>27.335899999999999</v>
      </c>
      <c r="C10" s="106">
        <f>'16'!C9+'16'!C24+'16'!C39</f>
        <v>11572796</v>
      </c>
      <c r="D10" s="107">
        <f t="shared" si="0"/>
        <v>35279.601793490125</v>
      </c>
      <c r="E10" s="384">
        <f>'16'!E9+'16'!E24+'16'!E39</f>
        <v>24.557399999999998</v>
      </c>
      <c r="F10" s="340">
        <f>'16'!F9+'16'!F24+'16'!F39</f>
        <v>11687311</v>
      </c>
      <c r="G10" s="381">
        <f t="shared" si="1"/>
        <v>39659.841161252145</v>
      </c>
      <c r="H10" s="385">
        <f>'16'!H9+'16'!H24+'16'!H39</f>
        <v>23.875299999999999</v>
      </c>
      <c r="I10" s="386">
        <f>'16'!I9+'16'!I24+'16'!I39</f>
        <v>12507664</v>
      </c>
      <c r="J10" s="371">
        <f t="shared" si="2"/>
        <v>43656.219328483137</v>
      </c>
    </row>
    <row r="11" spans="1:10" x14ac:dyDescent="0.2">
      <c r="A11" s="53" t="s">
        <v>72</v>
      </c>
      <c r="B11" s="318">
        <f>'16'!B10+'16'!B25+'16'!B40</f>
        <v>108.9466</v>
      </c>
      <c r="C11" s="106">
        <f>'16'!C10+'16'!C25+'16'!C40</f>
        <v>42308015</v>
      </c>
      <c r="D11" s="107">
        <f t="shared" si="0"/>
        <v>32361.431349548002</v>
      </c>
      <c r="E11" s="387">
        <f>'16'!E10+'16'!E25+'16'!E40</f>
        <v>119.45660000000001</v>
      </c>
      <c r="F11" s="386">
        <f>'16'!F10+'16'!F25+'16'!F40</f>
        <v>49774089</v>
      </c>
      <c r="G11" s="381">
        <f t="shared" si="1"/>
        <v>34722.574977020944</v>
      </c>
      <c r="H11" s="388">
        <f>'16'!H10+'16'!H25+'16'!H40</f>
        <v>129.24719999999999</v>
      </c>
      <c r="I11" s="386">
        <f>'16'!I10+'16'!I25+'16'!I40</f>
        <v>60531902</v>
      </c>
      <c r="J11" s="371">
        <f t="shared" si="2"/>
        <v>39028.506355779209</v>
      </c>
    </row>
    <row r="12" spans="1:10" x14ac:dyDescent="0.2">
      <c r="A12" s="53" t="s">
        <v>73</v>
      </c>
      <c r="B12" s="318">
        <f>'16'!B11+'16'!B26+'16'!B41</f>
        <v>50.935899999999997</v>
      </c>
      <c r="C12" s="106">
        <f>'16'!C11+'16'!C26+'16'!C41</f>
        <v>20302333</v>
      </c>
      <c r="D12" s="107">
        <f t="shared" si="0"/>
        <v>33215.494049056426</v>
      </c>
      <c r="E12" s="384">
        <f>'16'!E11+'16'!E26+'16'!E41</f>
        <v>52.584899999999998</v>
      </c>
      <c r="F12" s="340">
        <f>'16'!F11+'16'!F26+'16'!F41</f>
        <v>23355392</v>
      </c>
      <c r="G12" s="381">
        <f t="shared" si="1"/>
        <v>37012.19678399439</v>
      </c>
      <c r="H12" s="385">
        <f>'16'!H11+'16'!H26+'16'!H41</f>
        <v>54.110199999999999</v>
      </c>
      <c r="I12" s="386">
        <f>'16'!I11+'16'!I26+'16'!I41</f>
        <v>26110282</v>
      </c>
      <c r="J12" s="371">
        <f t="shared" si="2"/>
        <v>40211.583644734877</v>
      </c>
    </row>
    <row r="13" spans="1:10" x14ac:dyDescent="0.2">
      <c r="A13" s="53" t="s">
        <v>12</v>
      </c>
      <c r="B13" s="318">
        <f>'16'!B12+'16'!B27+'16'!B42</f>
        <v>96.876400000000004</v>
      </c>
      <c r="C13" s="106">
        <f>'16'!C12+'16'!C27+'16'!C42</f>
        <v>30667302</v>
      </c>
      <c r="D13" s="107">
        <f t="shared" si="0"/>
        <v>26380.093603808564</v>
      </c>
      <c r="E13" s="384">
        <f>'16'!E12+'16'!E27+'16'!E42</f>
        <v>102.03559999999999</v>
      </c>
      <c r="F13" s="340">
        <f>'16'!F12+'16'!F27+'16'!F42</f>
        <v>35845653</v>
      </c>
      <c r="G13" s="381">
        <f t="shared" si="1"/>
        <v>29275.446510825637</v>
      </c>
      <c r="H13" s="385">
        <f>'16'!H12+'16'!H27+'16'!H42</f>
        <v>100.6099</v>
      </c>
      <c r="I13" s="386">
        <f>'16'!I12+'16'!I27+'16'!I42</f>
        <v>38061742</v>
      </c>
      <c r="J13" s="371">
        <f t="shared" si="2"/>
        <v>31525.84222162365</v>
      </c>
    </row>
    <row r="14" spans="1:10" x14ac:dyDescent="0.2">
      <c r="A14" s="53" t="s">
        <v>15</v>
      </c>
      <c r="B14" s="318">
        <f>'16'!B13+'16'!B28+'16'!B43</f>
        <v>0</v>
      </c>
      <c r="C14" s="106">
        <f>'16'!C13+'16'!C28+'16'!C43</f>
        <v>0</v>
      </c>
      <c r="D14" s="107">
        <v>0</v>
      </c>
      <c r="E14" s="384">
        <f>'16'!E13+'16'!E28+'16'!E43</f>
        <v>0</v>
      </c>
      <c r="F14" s="340">
        <f>'16'!F13+'16'!F28+'16'!F43</f>
        <v>0</v>
      </c>
      <c r="G14" s="381">
        <v>0</v>
      </c>
      <c r="H14" s="385">
        <f>'16'!H13+'16'!H28+'16'!H43</f>
        <v>0</v>
      </c>
      <c r="I14" s="386">
        <f>'16'!I13+'16'!I28+'16'!I43</f>
        <v>0</v>
      </c>
      <c r="J14" s="371">
        <v>0</v>
      </c>
    </row>
    <row r="15" spans="1:10" x14ac:dyDescent="0.2">
      <c r="A15" s="53" t="s">
        <v>31</v>
      </c>
      <c r="B15" s="318">
        <f>'16'!B14+'16'!B29+'16'!B44</f>
        <v>13.033799999999999</v>
      </c>
      <c r="C15" s="106">
        <f>'16'!C14+'16'!C29+'16'!C44</f>
        <v>4044283</v>
      </c>
      <c r="D15" s="107">
        <f t="shared" si="0"/>
        <v>25857.66110676344</v>
      </c>
      <c r="E15" s="384">
        <f>'16'!E14+'16'!E29+'16'!E44</f>
        <v>14.8301</v>
      </c>
      <c r="F15" s="340">
        <f>'16'!F14+'16'!F29+'16'!F44</f>
        <v>5180572</v>
      </c>
      <c r="G15" s="381">
        <f t="shared" si="1"/>
        <v>29110.682553275659</v>
      </c>
      <c r="H15" s="385">
        <f>'16'!H14+'16'!H29+'16'!H44</f>
        <v>17.615200000000002</v>
      </c>
      <c r="I15" s="386">
        <f>'16'!I14+'16'!I29+'16'!I44</f>
        <v>6945999</v>
      </c>
      <c r="J15" s="371">
        <f t="shared" si="2"/>
        <v>32859.873858940002</v>
      </c>
    </row>
    <row r="16" spans="1:10" x14ac:dyDescent="0.2">
      <c r="A16" s="53" t="s">
        <v>74</v>
      </c>
      <c r="B16" s="318">
        <f>'16'!B15+'16'!B30+'16'!B45</f>
        <v>148.7157</v>
      </c>
      <c r="C16" s="106">
        <f>'16'!C15+'16'!C30+'16'!C45</f>
        <v>51389022</v>
      </c>
      <c r="D16" s="107">
        <f t="shared" si="0"/>
        <v>28796.008087915397</v>
      </c>
      <c r="E16" s="384">
        <f>'16'!E15+'16'!E30+'16'!E45</f>
        <v>150.28100000000001</v>
      </c>
      <c r="F16" s="340">
        <f>'16'!F15+'16'!F30+'16'!F45</f>
        <v>59408130</v>
      </c>
      <c r="G16" s="381">
        <f t="shared" si="1"/>
        <v>32942.80381418809</v>
      </c>
      <c r="H16" s="385">
        <f>'16'!H15+'16'!H30+'16'!H45</f>
        <v>153.68720000000002</v>
      </c>
      <c r="I16" s="386">
        <f>'16'!I15+'16'!I30+'16'!I45</f>
        <v>67325879</v>
      </c>
      <c r="J16" s="371">
        <f t="shared" si="2"/>
        <v>36505.902356648214</v>
      </c>
    </row>
    <row r="17" spans="1:15" ht="15.75" thickBot="1" x14ac:dyDescent="0.25">
      <c r="A17" s="53" t="s">
        <v>26</v>
      </c>
      <c r="B17" s="327">
        <f>'16'!B16+'16'!B31+'16'!B46</f>
        <v>54.925799999999995</v>
      </c>
      <c r="C17" s="328">
        <f>'16'!C16+'16'!C31+'16'!C46</f>
        <v>12849076</v>
      </c>
      <c r="D17" s="329">
        <f t="shared" si="0"/>
        <v>19494.596953222954</v>
      </c>
      <c r="E17" s="389">
        <f>'16'!E16+'16'!E31+'16'!E46</f>
        <v>53.851700000000001</v>
      </c>
      <c r="F17" s="373">
        <f>'16'!F16+'16'!F31+'16'!F46</f>
        <v>13573800</v>
      </c>
      <c r="G17" s="390">
        <f t="shared" si="1"/>
        <v>21004.907923055354</v>
      </c>
      <c r="H17" s="391">
        <f>'16'!H16+'16'!H31+'16'!H46</f>
        <v>54.586300000000001</v>
      </c>
      <c r="I17" s="392">
        <f>'16'!I16+'16'!I31+'16'!I46</f>
        <v>15522843</v>
      </c>
      <c r="J17" s="393">
        <f t="shared" si="2"/>
        <v>23697.708948948726</v>
      </c>
    </row>
    <row r="18" spans="1:15" ht="15.75" thickBot="1" x14ac:dyDescent="0.3">
      <c r="A18" s="334" t="s">
        <v>65</v>
      </c>
      <c r="B18" s="330">
        <f>SUM(B8:B17)</f>
        <v>1673.6582000000001</v>
      </c>
      <c r="C18" s="331">
        <f>SUM(C8:C17)</f>
        <v>638537501</v>
      </c>
      <c r="D18" s="332">
        <f>C18/B18/12</f>
        <v>31793.503844851159</v>
      </c>
      <c r="E18" s="343">
        <f>SUM(E8:E17)</f>
        <v>1641.5864999999997</v>
      </c>
      <c r="F18" s="345">
        <f>SUM(F8:F17)</f>
        <v>710795405</v>
      </c>
      <c r="G18" s="346">
        <f t="shared" si="1"/>
        <v>36082.747035667438</v>
      </c>
      <c r="H18" s="343">
        <f>SUM(H8:H17)</f>
        <v>1635.8262</v>
      </c>
      <c r="I18" s="345">
        <f>SUM(I8:I17)</f>
        <v>791654311</v>
      </c>
      <c r="J18" s="346">
        <f>I18/H18/12</f>
        <v>40328.974180345889</v>
      </c>
    </row>
    <row r="19" spans="1:15" x14ac:dyDescent="0.25">
      <c r="A19" s="121"/>
      <c r="B19" s="138"/>
      <c r="C19" s="139"/>
      <c r="D19" s="122"/>
    </row>
    <row r="20" spans="1:15" x14ac:dyDescent="0.25">
      <c r="A20" s="121"/>
      <c r="B20" s="122"/>
      <c r="C20" s="154"/>
      <c r="D20" s="122"/>
    </row>
    <row r="21" spans="1:15" x14ac:dyDescent="0.25">
      <c r="B21" s="155"/>
      <c r="C21" s="105"/>
      <c r="D21" s="105"/>
      <c r="O21" s="160"/>
    </row>
    <row r="22" spans="1:15" x14ac:dyDescent="0.25">
      <c r="B22" s="156"/>
      <c r="C22" s="157"/>
      <c r="D22" s="157"/>
    </row>
  </sheetData>
  <mergeCells count="13">
    <mergeCell ref="H5:J5"/>
    <mergeCell ref="H6:H7"/>
    <mergeCell ref="I6:I7"/>
    <mergeCell ref="J6:J7"/>
    <mergeCell ref="A5:A7"/>
    <mergeCell ref="B5:D5"/>
    <mergeCell ref="E5:G5"/>
    <mergeCell ref="E6:E7"/>
    <mergeCell ref="F6:F7"/>
    <mergeCell ref="G6:G7"/>
    <mergeCell ref="B6:B7"/>
    <mergeCell ref="C6:C7"/>
    <mergeCell ref="D6:D7"/>
  </mergeCells>
  <pageMargins left="0.7" right="0.7" top="0.78740157499999996" bottom="0.78740157499999996" header="0.3" footer="0.3"/>
  <pageSetup paperSize="9" orientation="landscape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opLeftCell="A25" workbookViewId="0">
      <selection activeCell="M45" sqref="M45"/>
    </sheetView>
  </sheetViews>
  <sheetFormatPr defaultColWidth="9.140625" defaultRowHeight="15" x14ac:dyDescent="0.25"/>
  <cols>
    <col min="1" max="1" width="15.85546875" style="148" customWidth="1"/>
    <col min="2" max="2" width="8.5703125" style="1" customWidth="1"/>
    <col min="3" max="3" width="9.5703125" style="1" customWidth="1"/>
    <col min="4" max="4" width="10.7109375" style="1" customWidth="1"/>
    <col min="5" max="5" width="9.42578125" style="1" bestFit="1" customWidth="1"/>
    <col min="6" max="6" width="10.140625" style="1" customWidth="1"/>
    <col min="7" max="7" width="8.28515625" style="1" customWidth="1"/>
    <col min="8" max="8" width="9.28515625" style="1" bestFit="1" customWidth="1"/>
    <col min="9" max="9" width="10.85546875" style="1" bestFit="1" customWidth="1"/>
    <col min="10" max="10" width="9.28515625" style="1" customWidth="1"/>
    <col min="11" max="16384" width="9.140625" style="1"/>
  </cols>
  <sheetData>
    <row r="1" spans="1:10" ht="10.5" customHeight="1" x14ac:dyDescent="0.25">
      <c r="A1" s="147" t="s">
        <v>1</v>
      </c>
    </row>
    <row r="2" spans="1:10" ht="36.75" customHeight="1" x14ac:dyDescent="0.25">
      <c r="A2" s="176" t="s">
        <v>75</v>
      </c>
      <c r="B2" s="177"/>
      <c r="C2" s="177"/>
      <c r="D2" s="177"/>
    </row>
    <row r="3" spans="1:10" ht="15.75" thickBot="1" x14ac:dyDescent="0.3">
      <c r="A3" s="146"/>
      <c r="D3" s="1" t="s">
        <v>1</v>
      </c>
    </row>
    <row r="4" spans="1:10" ht="15.75" thickBot="1" x14ac:dyDescent="0.3">
      <c r="A4" s="479" t="s">
        <v>66</v>
      </c>
      <c r="B4" s="480"/>
      <c r="C4" s="480"/>
      <c r="D4" s="480"/>
      <c r="E4" s="480"/>
      <c r="F4" s="480"/>
      <c r="G4" s="480"/>
      <c r="H4" s="481"/>
      <c r="I4" s="481"/>
      <c r="J4" s="482"/>
    </row>
    <row r="5" spans="1:10" ht="15.75" thickBot="1" x14ac:dyDescent="0.3">
      <c r="A5" s="467" t="s">
        <v>60</v>
      </c>
      <c r="B5" s="522" t="s">
        <v>92</v>
      </c>
      <c r="C5" s="523"/>
      <c r="D5" s="524"/>
      <c r="E5" s="458" t="s">
        <v>97</v>
      </c>
      <c r="F5" s="459"/>
      <c r="G5" s="460"/>
      <c r="H5" s="522" t="s">
        <v>113</v>
      </c>
      <c r="I5" s="523"/>
      <c r="J5" s="524"/>
    </row>
    <row r="6" spans="1:10" ht="45.75" thickBot="1" x14ac:dyDescent="0.3">
      <c r="A6" s="468"/>
      <c r="B6" s="401" t="s">
        <v>61</v>
      </c>
      <c r="C6" s="402" t="s">
        <v>67</v>
      </c>
      <c r="D6" s="403" t="s">
        <v>63</v>
      </c>
      <c r="E6" s="401" t="s">
        <v>61</v>
      </c>
      <c r="F6" s="402" t="s">
        <v>67</v>
      </c>
      <c r="G6" s="403" t="s">
        <v>63</v>
      </c>
      <c r="H6" s="401" t="s">
        <v>61</v>
      </c>
      <c r="I6" s="402" t="s">
        <v>67</v>
      </c>
      <c r="J6" s="404" t="s">
        <v>63</v>
      </c>
    </row>
    <row r="7" spans="1:10" x14ac:dyDescent="0.25">
      <c r="A7" s="364" t="s">
        <v>13</v>
      </c>
      <c r="B7" s="108">
        <v>24.4741</v>
      </c>
      <c r="C7" s="109">
        <v>9137965</v>
      </c>
      <c r="D7" s="110">
        <f t="shared" ref="D7:D16" si="0">C7/B7/12</f>
        <v>31114.405977475511</v>
      </c>
      <c r="E7" s="108">
        <v>4.2222999999999997</v>
      </c>
      <c r="F7" s="109">
        <v>2009265</v>
      </c>
      <c r="G7" s="180">
        <f>F7/E7/12</f>
        <v>39655.815550766172</v>
      </c>
      <c r="H7" s="108">
        <v>3.8081</v>
      </c>
      <c r="I7" s="109">
        <v>1775966</v>
      </c>
      <c r="J7" s="110">
        <f>I7/H7/12</f>
        <v>38863.781588368649</v>
      </c>
    </row>
    <row r="8" spans="1:10" x14ac:dyDescent="0.25">
      <c r="A8" s="149" t="s">
        <v>9</v>
      </c>
      <c r="B8" s="111">
        <v>548.97450000000003</v>
      </c>
      <c r="C8" s="40">
        <v>222365210</v>
      </c>
      <c r="D8" s="41">
        <f t="shared" si="0"/>
        <v>33754.635537109039</v>
      </c>
      <c r="E8" s="111">
        <v>537.50480000000005</v>
      </c>
      <c r="F8" s="40">
        <v>251648156</v>
      </c>
      <c r="G8" s="180">
        <f t="shared" ref="G8:G17" si="1">F8/E8/12</f>
        <v>39014.86957263761</v>
      </c>
      <c r="H8" s="111">
        <v>528.76300000000003</v>
      </c>
      <c r="I8" s="40">
        <v>281121389</v>
      </c>
      <c r="J8" s="41">
        <f t="shared" ref="J8:J17" si="2">I8/H8/12</f>
        <v>44304.88218098972</v>
      </c>
    </row>
    <row r="9" spans="1:10" x14ac:dyDescent="0.25">
      <c r="A9" s="149" t="s">
        <v>10</v>
      </c>
      <c r="B9" s="111">
        <v>24.818999999999999</v>
      </c>
      <c r="C9" s="40">
        <v>10547743</v>
      </c>
      <c r="D9" s="41">
        <f t="shared" si="0"/>
        <v>35415.551929301473</v>
      </c>
      <c r="E9" s="111">
        <v>21.835999999999999</v>
      </c>
      <c r="F9" s="40">
        <v>10448061</v>
      </c>
      <c r="G9" s="180">
        <f t="shared" si="1"/>
        <v>39873.225407583806</v>
      </c>
      <c r="H9" s="111">
        <v>21.084199999999999</v>
      </c>
      <c r="I9" s="40">
        <v>10847239</v>
      </c>
      <c r="J9" s="41">
        <f t="shared" si="2"/>
        <v>42872.700094541571</v>
      </c>
    </row>
    <row r="10" spans="1:10" x14ac:dyDescent="0.25">
      <c r="A10" s="149" t="s">
        <v>72</v>
      </c>
      <c r="B10" s="178">
        <v>103.562</v>
      </c>
      <c r="C10" s="179">
        <v>39733838</v>
      </c>
      <c r="D10" s="41">
        <f t="shared" si="0"/>
        <v>31972.665327694198</v>
      </c>
      <c r="E10" s="319">
        <v>113.71420000000001</v>
      </c>
      <c r="F10" s="40">
        <v>46777764</v>
      </c>
      <c r="G10" s="180">
        <f t="shared" si="1"/>
        <v>34280.213025286197</v>
      </c>
      <c r="H10" s="319">
        <v>123.65309999999999</v>
      </c>
      <c r="I10" s="40">
        <v>56970618</v>
      </c>
      <c r="J10" s="41">
        <f t="shared" si="2"/>
        <v>38394.116281759212</v>
      </c>
    </row>
    <row r="11" spans="1:10" x14ac:dyDescent="0.25">
      <c r="A11" s="149" t="s">
        <v>73</v>
      </c>
      <c r="B11" s="111">
        <v>50.935899999999997</v>
      </c>
      <c r="C11" s="40">
        <v>20302333</v>
      </c>
      <c r="D11" s="41">
        <f t="shared" si="0"/>
        <v>33215.494049056426</v>
      </c>
      <c r="E11" s="111">
        <v>52.584899999999998</v>
      </c>
      <c r="F11" s="40">
        <v>23355392</v>
      </c>
      <c r="G11" s="180">
        <f t="shared" si="1"/>
        <v>37012.19678399439</v>
      </c>
      <c r="H11" s="111">
        <v>54.110199999999999</v>
      </c>
      <c r="I11" s="40">
        <v>26110282</v>
      </c>
      <c r="J11" s="41">
        <f t="shared" si="2"/>
        <v>40211.583644734877</v>
      </c>
    </row>
    <row r="12" spans="1:10" x14ac:dyDescent="0.25">
      <c r="A12" s="149" t="s">
        <v>12</v>
      </c>
      <c r="B12" s="111">
        <v>61.663400000000003</v>
      </c>
      <c r="C12" s="40">
        <v>19432889</v>
      </c>
      <c r="D12" s="41">
        <f t="shared" si="0"/>
        <v>26262.051989781077</v>
      </c>
      <c r="E12" s="111">
        <v>63.343699999999998</v>
      </c>
      <c r="F12" s="40">
        <v>22480363</v>
      </c>
      <c r="G12" s="180">
        <f t="shared" si="1"/>
        <v>29574.584107548711</v>
      </c>
      <c r="H12" s="111">
        <v>62.183900000000001</v>
      </c>
      <c r="I12" s="40">
        <v>23374412</v>
      </c>
      <c r="J12" s="41">
        <f t="shared" si="2"/>
        <v>31324.308489282059</v>
      </c>
    </row>
    <row r="13" spans="1:10" x14ac:dyDescent="0.25">
      <c r="A13" s="149" t="s">
        <v>15</v>
      </c>
      <c r="B13" s="111">
        <v>0</v>
      </c>
      <c r="C13" s="40">
        <v>0</v>
      </c>
      <c r="D13" s="41">
        <v>0</v>
      </c>
      <c r="E13" s="111">
        <v>0</v>
      </c>
      <c r="F13" s="40">
        <v>0</v>
      </c>
      <c r="G13" s="180">
        <v>0</v>
      </c>
      <c r="H13" s="111">
        <v>0</v>
      </c>
      <c r="I13" s="40">
        <v>0</v>
      </c>
      <c r="J13" s="41">
        <v>0</v>
      </c>
    </row>
    <row r="14" spans="1:10" x14ac:dyDescent="0.25">
      <c r="A14" s="149" t="s">
        <v>25</v>
      </c>
      <c r="B14" s="111">
        <v>13.033799999999999</v>
      </c>
      <c r="C14" s="40">
        <v>4044283</v>
      </c>
      <c r="D14" s="41">
        <f t="shared" si="0"/>
        <v>25857.66110676344</v>
      </c>
      <c r="E14" s="111">
        <v>14.8301</v>
      </c>
      <c r="F14" s="40">
        <v>5180572</v>
      </c>
      <c r="G14" s="41">
        <f t="shared" ref="G14:G16" si="3">F14/E14/12</f>
        <v>29110.682553275659</v>
      </c>
      <c r="H14" s="111">
        <v>17.615200000000002</v>
      </c>
      <c r="I14" s="40">
        <v>6945999</v>
      </c>
      <c r="J14" s="41">
        <f t="shared" si="2"/>
        <v>32859.873858940002</v>
      </c>
    </row>
    <row r="15" spans="1:10" x14ac:dyDescent="0.25">
      <c r="A15" s="149" t="s">
        <v>74</v>
      </c>
      <c r="B15" s="111">
        <v>70.042000000000002</v>
      </c>
      <c r="C15" s="40">
        <v>23833158</v>
      </c>
      <c r="D15" s="41">
        <f t="shared" si="0"/>
        <v>28355.793666657148</v>
      </c>
      <c r="E15" s="111">
        <v>70.259500000000003</v>
      </c>
      <c r="F15" s="40">
        <v>27418162</v>
      </c>
      <c r="G15" s="41">
        <f t="shared" si="3"/>
        <v>32520.112345424222</v>
      </c>
      <c r="H15" s="111">
        <v>73.0625</v>
      </c>
      <c r="I15" s="40">
        <v>31643641</v>
      </c>
      <c r="J15" s="41">
        <f t="shared" si="2"/>
        <v>36091.977188480181</v>
      </c>
    </row>
    <row r="16" spans="1:10" ht="15.75" thickBot="1" x14ac:dyDescent="0.3">
      <c r="A16" s="405" t="s">
        <v>26</v>
      </c>
      <c r="B16" s="112">
        <v>27.776700000000002</v>
      </c>
      <c r="C16" s="113">
        <v>6675935</v>
      </c>
      <c r="D16" s="41">
        <f t="shared" si="0"/>
        <v>20028.582108985825</v>
      </c>
      <c r="E16" s="112">
        <v>27.9133</v>
      </c>
      <c r="F16" s="113">
        <v>7059530</v>
      </c>
      <c r="G16" s="44">
        <f t="shared" si="3"/>
        <v>21075.765555010217</v>
      </c>
      <c r="H16" s="112">
        <v>30.135100000000001</v>
      </c>
      <c r="I16" s="113">
        <v>8404880</v>
      </c>
      <c r="J16" s="44">
        <f t="shared" si="2"/>
        <v>23242.221418434536</v>
      </c>
    </row>
    <row r="17" spans="1:10" ht="15.75" thickBot="1" x14ac:dyDescent="0.3">
      <c r="A17" s="366" t="s">
        <v>65</v>
      </c>
      <c r="B17" s="114">
        <f>SUM(B7:B16)</f>
        <v>925.28140000000008</v>
      </c>
      <c r="C17" s="115">
        <f>SUM(C7:C16)</f>
        <v>356073354</v>
      </c>
      <c r="D17" s="116">
        <f t="shared" ref="D17" si="4">C17/B17/12</f>
        <v>32068.92465362429</v>
      </c>
      <c r="E17" s="183">
        <f>SUM(E7:E16)</f>
        <v>906.20880000000011</v>
      </c>
      <c r="F17" s="184">
        <f>SUM(F7:F16)</f>
        <v>396377265</v>
      </c>
      <c r="G17" s="185">
        <f t="shared" si="1"/>
        <v>36450.141236765739</v>
      </c>
      <c r="H17" s="114">
        <f>SUM(H7:H16)</f>
        <v>914.41529999999989</v>
      </c>
      <c r="I17" s="115">
        <f>SUM(I7:I16)</f>
        <v>447194426</v>
      </c>
      <c r="J17" s="205">
        <f t="shared" si="2"/>
        <v>40754.132358313196</v>
      </c>
    </row>
    <row r="18" spans="1:10" ht="15.75" thickBot="1" x14ac:dyDescent="0.3"/>
    <row r="19" spans="1:10" ht="15.75" thickBot="1" x14ac:dyDescent="0.3">
      <c r="A19" s="479" t="s">
        <v>68</v>
      </c>
      <c r="B19" s="480"/>
      <c r="C19" s="480"/>
      <c r="D19" s="480"/>
      <c r="E19" s="480"/>
      <c r="F19" s="480"/>
      <c r="G19" s="480"/>
      <c r="H19" s="481"/>
      <c r="I19" s="481"/>
      <c r="J19" s="482"/>
    </row>
    <row r="20" spans="1:10" ht="15.75" thickBot="1" x14ac:dyDescent="0.3">
      <c r="A20" s="467" t="s">
        <v>60</v>
      </c>
      <c r="B20" s="522" t="s">
        <v>92</v>
      </c>
      <c r="C20" s="523"/>
      <c r="D20" s="524"/>
      <c r="E20" s="458" t="s">
        <v>97</v>
      </c>
      <c r="F20" s="459"/>
      <c r="G20" s="460"/>
      <c r="H20" s="528" t="s">
        <v>113</v>
      </c>
      <c r="I20" s="529"/>
      <c r="J20" s="530"/>
    </row>
    <row r="21" spans="1:10" ht="45.75" thickBot="1" x14ac:dyDescent="0.3">
      <c r="A21" s="469"/>
      <c r="B21" s="401" t="s">
        <v>61</v>
      </c>
      <c r="C21" s="402" t="s">
        <v>67</v>
      </c>
      <c r="D21" s="403" t="s">
        <v>63</v>
      </c>
      <c r="E21" s="401" t="s">
        <v>61</v>
      </c>
      <c r="F21" s="402" t="s">
        <v>67</v>
      </c>
      <c r="G21" s="403" t="s">
        <v>63</v>
      </c>
      <c r="H21" s="401" t="s">
        <v>61</v>
      </c>
      <c r="I21" s="402" t="s">
        <v>67</v>
      </c>
      <c r="J21" s="403" t="s">
        <v>63</v>
      </c>
    </row>
    <row r="22" spans="1:10" x14ac:dyDescent="0.25">
      <c r="A22" s="364" t="s">
        <v>13</v>
      </c>
      <c r="B22" s="108">
        <v>0</v>
      </c>
      <c r="C22" s="109">
        <v>0</v>
      </c>
      <c r="D22" s="110">
        <v>0</v>
      </c>
      <c r="E22" s="108">
        <v>0</v>
      </c>
      <c r="F22" s="109">
        <v>0</v>
      </c>
      <c r="G22" s="180">
        <v>0</v>
      </c>
      <c r="H22" s="108">
        <v>0</v>
      </c>
      <c r="I22" s="109">
        <v>0</v>
      </c>
      <c r="J22" s="110">
        <v>0</v>
      </c>
    </row>
    <row r="23" spans="1:10" x14ac:dyDescent="0.25">
      <c r="A23" s="149" t="s">
        <v>9</v>
      </c>
      <c r="B23" s="111">
        <v>280.92540000000002</v>
      </c>
      <c r="C23" s="40">
        <v>109942839</v>
      </c>
      <c r="D23" s="41">
        <f t="shared" ref="D23:D31" si="5">C23/B23/12</f>
        <v>32613.296092129793</v>
      </c>
      <c r="E23" s="111">
        <v>268.6148</v>
      </c>
      <c r="F23" s="40">
        <v>120403380</v>
      </c>
      <c r="G23" s="180">
        <f>F23/E23/12</f>
        <v>37353.172647225692</v>
      </c>
      <c r="H23" s="111">
        <v>258.13959999999997</v>
      </c>
      <c r="I23" s="40">
        <v>124051264</v>
      </c>
      <c r="J23" s="41">
        <f>I23/H23/12</f>
        <v>40046.569117381972</v>
      </c>
    </row>
    <row r="24" spans="1:10" x14ac:dyDescent="0.25">
      <c r="A24" s="149" t="s">
        <v>10</v>
      </c>
      <c r="B24" s="117">
        <v>0</v>
      </c>
      <c r="C24" s="34">
        <v>0</v>
      </c>
      <c r="D24" s="35">
        <v>0</v>
      </c>
      <c r="E24" s="117">
        <v>0</v>
      </c>
      <c r="F24" s="34">
        <v>0</v>
      </c>
      <c r="G24" s="180">
        <v>0</v>
      </c>
      <c r="H24" s="117">
        <v>0</v>
      </c>
      <c r="I24" s="34">
        <v>0</v>
      </c>
      <c r="J24" s="35">
        <v>0</v>
      </c>
    </row>
    <row r="25" spans="1:10" x14ac:dyDescent="0.25">
      <c r="A25" s="149" t="s">
        <v>72</v>
      </c>
      <c r="B25" s="111">
        <v>0</v>
      </c>
      <c r="C25" s="34">
        <v>0</v>
      </c>
      <c r="D25" s="41">
        <v>0</v>
      </c>
      <c r="E25" s="111">
        <v>0</v>
      </c>
      <c r="F25" s="34">
        <v>0</v>
      </c>
      <c r="G25" s="180">
        <v>0</v>
      </c>
      <c r="H25" s="111">
        <v>0</v>
      </c>
      <c r="I25" s="34">
        <v>0</v>
      </c>
      <c r="J25" s="35">
        <v>0</v>
      </c>
    </row>
    <row r="26" spans="1:10" x14ac:dyDescent="0.25">
      <c r="A26" s="149" t="s">
        <v>73</v>
      </c>
      <c r="B26" s="111">
        <v>0</v>
      </c>
      <c r="C26" s="34">
        <v>0</v>
      </c>
      <c r="D26" s="41">
        <v>0</v>
      </c>
      <c r="E26" s="111">
        <v>0</v>
      </c>
      <c r="F26" s="34">
        <v>0</v>
      </c>
      <c r="G26" s="180">
        <v>0</v>
      </c>
      <c r="H26" s="111">
        <v>0</v>
      </c>
      <c r="I26" s="34">
        <v>0</v>
      </c>
      <c r="J26" s="35">
        <v>0</v>
      </c>
    </row>
    <row r="27" spans="1:10" x14ac:dyDescent="0.25">
      <c r="A27" s="149" t="s">
        <v>12</v>
      </c>
      <c r="B27" s="111">
        <v>12.3619</v>
      </c>
      <c r="C27" s="40">
        <v>3514050</v>
      </c>
      <c r="D27" s="41">
        <f t="shared" si="5"/>
        <v>23688.712900120532</v>
      </c>
      <c r="E27" s="111">
        <v>16.629200000000001</v>
      </c>
      <c r="F27" s="40">
        <v>5348944</v>
      </c>
      <c r="G27" s="180">
        <f>F27/E27/12</f>
        <v>26804.977589621467</v>
      </c>
      <c r="H27" s="111">
        <v>15.9818</v>
      </c>
      <c r="I27" s="40">
        <v>5310872</v>
      </c>
      <c r="J27" s="41">
        <f>I27/H27/12</f>
        <v>27692.29164841674</v>
      </c>
    </row>
    <row r="28" spans="1:10" x14ac:dyDescent="0.25">
      <c r="A28" s="149" t="s">
        <v>15</v>
      </c>
      <c r="B28" s="111">
        <v>0</v>
      </c>
      <c r="C28" s="40">
        <v>0</v>
      </c>
      <c r="D28" s="41">
        <v>0</v>
      </c>
      <c r="E28" s="111">
        <v>0</v>
      </c>
      <c r="F28" s="40">
        <v>0</v>
      </c>
      <c r="G28" s="180">
        <v>0</v>
      </c>
      <c r="H28" s="111">
        <v>0</v>
      </c>
      <c r="I28" s="40">
        <v>0</v>
      </c>
      <c r="J28" s="41">
        <v>0</v>
      </c>
    </row>
    <row r="29" spans="1:10" x14ac:dyDescent="0.25">
      <c r="A29" s="149" t="s">
        <v>25</v>
      </c>
      <c r="B29" s="111">
        <v>0</v>
      </c>
      <c r="C29" s="40">
        <v>0</v>
      </c>
      <c r="D29" s="41">
        <v>0</v>
      </c>
      <c r="E29" s="111">
        <v>0</v>
      </c>
      <c r="F29" s="40">
        <v>0</v>
      </c>
      <c r="G29" s="180">
        <v>0</v>
      </c>
      <c r="H29" s="111">
        <v>0</v>
      </c>
      <c r="I29" s="40">
        <v>0</v>
      </c>
      <c r="J29" s="41">
        <v>0</v>
      </c>
    </row>
    <row r="30" spans="1:10" x14ac:dyDescent="0.25">
      <c r="A30" s="365" t="s">
        <v>11</v>
      </c>
      <c r="B30" s="111">
        <v>0</v>
      </c>
      <c r="C30" s="40">
        <v>0</v>
      </c>
      <c r="D30" s="41">
        <v>0</v>
      </c>
      <c r="E30" s="111">
        <v>0</v>
      </c>
      <c r="F30" s="40">
        <v>0</v>
      </c>
      <c r="G30" s="180">
        <v>0</v>
      </c>
      <c r="H30" s="111">
        <v>0</v>
      </c>
      <c r="I30" s="40">
        <v>0</v>
      </c>
      <c r="J30" s="41">
        <v>0</v>
      </c>
    </row>
    <row r="31" spans="1:10" ht="15.75" thickBot="1" x14ac:dyDescent="0.3">
      <c r="A31" s="365" t="s">
        <v>26</v>
      </c>
      <c r="B31" s="111">
        <v>8.8574999999999999</v>
      </c>
      <c r="C31" s="40">
        <v>1946662</v>
      </c>
      <c r="D31" s="41">
        <f t="shared" si="5"/>
        <v>18314.629786433343</v>
      </c>
      <c r="E31" s="111">
        <v>7.8045999999999998</v>
      </c>
      <c r="F31" s="40">
        <v>1969729</v>
      </c>
      <c r="G31" s="182">
        <f>F31/E31/12</f>
        <v>21031.70993174965</v>
      </c>
      <c r="H31" s="111">
        <v>5.7994000000000003</v>
      </c>
      <c r="I31" s="40">
        <v>1566433</v>
      </c>
      <c r="J31" s="201">
        <f>I31/H31/12</f>
        <v>22508.549735030057</v>
      </c>
    </row>
    <row r="32" spans="1:10" ht="15.75" thickBot="1" x14ac:dyDescent="0.3">
      <c r="A32" s="359" t="s">
        <v>65</v>
      </c>
      <c r="B32" s="114">
        <f>SUM(B22:B31)</f>
        <v>302.14480000000003</v>
      </c>
      <c r="C32" s="115">
        <f>SUM(C22:C31)</f>
        <v>115403551</v>
      </c>
      <c r="D32" s="116">
        <f>C32/B32/12</f>
        <v>31828.985914479854</v>
      </c>
      <c r="E32" s="183">
        <f>SUM(E22:E31)</f>
        <v>293.04860000000002</v>
      </c>
      <c r="F32" s="184">
        <f>SUM(F22:F31)</f>
        <v>127722053</v>
      </c>
      <c r="G32" s="185">
        <f>F32/E32/12</f>
        <v>36319.929242680788</v>
      </c>
      <c r="H32" s="114">
        <f>SUM(H22:H31)</f>
        <v>279.92079999999999</v>
      </c>
      <c r="I32" s="200">
        <f>SUM(I22:I31)</f>
        <v>130928569</v>
      </c>
      <c r="J32" s="202">
        <f>I32/H32/12</f>
        <v>38977.861178352359</v>
      </c>
    </row>
    <row r="33" spans="1:10" ht="15.75" thickBot="1" x14ac:dyDescent="0.3">
      <c r="E33" s="1" t="s">
        <v>1</v>
      </c>
    </row>
    <row r="34" spans="1:10" ht="15.75" thickBot="1" x14ac:dyDescent="0.3">
      <c r="A34" s="492" t="s">
        <v>70</v>
      </c>
      <c r="B34" s="493"/>
      <c r="C34" s="493"/>
      <c r="D34" s="493"/>
      <c r="E34" s="493"/>
      <c r="F34" s="493"/>
      <c r="G34" s="493"/>
      <c r="H34" s="493"/>
      <c r="I34" s="493"/>
      <c r="J34" s="521"/>
    </row>
    <row r="35" spans="1:10" ht="15.75" thickBot="1" x14ac:dyDescent="0.3">
      <c r="A35" s="467" t="s">
        <v>60</v>
      </c>
      <c r="B35" s="522" t="s">
        <v>92</v>
      </c>
      <c r="C35" s="523"/>
      <c r="D35" s="524"/>
      <c r="E35" s="458" t="s">
        <v>97</v>
      </c>
      <c r="F35" s="459"/>
      <c r="G35" s="460"/>
      <c r="H35" s="522" t="s">
        <v>113</v>
      </c>
      <c r="I35" s="523"/>
      <c r="J35" s="524"/>
    </row>
    <row r="36" spans="1:10" ht="45.75" thickBot="1" x14ac:dyDescent="0.3">
      <c r="A36" s="469"/>
      <c r="B36" s="401" t="s">
        <v>61</v>
      </c>
      <c r="C36" s="402" t="s">
        <v>67</v>
      </c>
      <c r="D36" s="403" t="s">
        <v>63</v>
      </c>
      <c r="E36" s="401" t="s">
        <v>61</v>
      </c>
      <c r="F36" s="402" t="s">
        <v>67</v>
      </c>
      <c r="G36" s="403" t="s">
        <v>63</v>
      </c>
      <c r="H36" s="401" t="s">
        <v>61</v>
      </c>
      <c r="I36" s="402" t="s">
        <v>67</v>
      </c>
      <c r="J36" s="403" t="s">
        <v>63</v>
      </c>
    </row>
    <row r="37" spans="1:10" x14ac:dyDescent="0.25">
      <c r="A37" s="364" t="s">
        <v>13</v>
      </c>
      <c r="B37" s="108">
        <v>0</v>
      </c>
      <c r="C37" s="109">
        <v>0</v>
      </c>
      <c r="D37" s="110">
        <v>0</v>
      </c>
      <c r="E37" s="108">
        <v>0</v>
      </c>
      <c r="F37" s="109">
        <v>0</v>
      </c>
      <c r="G37" s="180">
        <v>0</v>
      </c>
      <c r="H37" s="108">
        <v>0</v>
      </c>
      <c r="I37" s="109">
        <v>0</v>
      </c>
      <c r="J37" s="110">
        <v>0</v>
      </c>
    </row>
    <row r="38" spans="1:10" x14ac:dyDescent="0.25">
      <c r="A38" s="149" t="s">
        <v>9</v>
      </c>
      <c r="B38" s="111">
        <v>318.51409999999998</v>
      </c>
      <c r="C38" s="40">
        <v>123958660</v>
      </c>
      <c r="D38" s="41">
        <f t="shared" ref="D38:D46" si="6">C38/B38/12</f>
        <v>32431.494660152672</v>
      </c>
      <c r="E38" s="111">
        <v>313.64729999999997</v>
      </c>
      <c r="F38" s="40">
        <v>137909657</v>
      </c>
      <c r="G38" s="180">
        <f>F38/E38/12</f>
        <v>36641.384818765117</v>
      </c>
      <c r="H38" s="111">
        <v>311.38420000000002</v>
      </c>
      <c r="I38" s="40">
        <v>157699381</v>
      </c>
      <c r="J38" s="41">
        <f t="shared" ref="J38:J47" si="7">I38/H38/12</f>
        <v>42203.859679885274</v>
      </c>
    </row>
    <row r="39" spans="1:10" x14ac:dyDescent="0.25">
      <c r="A39" s="149" t="s">
        <v>10</v>
      </c>
      <c r="B39" s="117">
        <v>2.5169000000000001</v>
      </c>
      <c r="C39" s="34">
        <v>1025053</v>
      </c>
      <c r="D39" s="41">
        <f t="shared" si="6"/>
        <v>33939.005655104826</v>
      </c>
      <c r="E39" s="117">
        <v>2.7214</v>
      </c>
      <c r="F39" s="34">
        <v>1239250</v>
      </c>
      <c r="G39" s="180">
        <f t="shared" ref="G39:G47" si="8">F39/E39/12</f>
        <v>37947.686239925526</v>
      </c>
      <c r="H39" s="117">
        <v>2.7911000000000001</v>
      </c>
      <c r="I39" s="34">
        <v>1660425</v>
      </c>
      <c r="J39" s="41">
        <f t="shared" si="7"/>
        <v>49574.988355845358</v>
      </c>
    </row>
    <row r="40" spans="1:10" x14ac:dyDescent="0.25">
      <c r="A40" s="149" t="s">
        <v>72</v>
      </c>
      <c r="B40" s="111">
        <v>5.3845999999999998</v>
      </c>
      <c r="C40" s="40">
        <v>2574177</v>
      </c>
      <c r="D40" s="41">
        <f t="shared" si="6"/>
        <v>39838.567395906844</v>
      </c>
      <c r="E40" s="111">
        <v>5.7423999999999999</v>
      </c>
      <c r="F40" s="40">
        <v>2996325</v>
      </c>
      <c r="G40" s="180">
        <f t="shared" si="8"/>
        <v>43482.472485371974</v>
      </c>
      <c r="H40" s="111">
        <v>5.5941000000000001</v>
      </c>
      <c r="I40" s="40">
        <v>3561284</v>
      </c>
      <c r="J40" s="41">
        <f t="shared" si="7"/>
        <v>53051.190837966191</v>
      </c>
    </row>
    <row r="41" spans="1:10" x14ac:dyDescent="0.25">
      <c r="A41" s="149" t="s">
        <v>73</v>
      </c>
      <c r="B41" s="111">
        <v>0</v>
      </c>
      <c r="C41" s="40">
        <v>0</v>
      </c>
      <c r="D41" s="41">
        <v>0</v>
      </c>
      <c r="E41" s="111">
        <v>0</v>
      </c>
      <c r="F41" s="40">
        <v>0</v>
      </c>
      <c r="G41" s="180">
        <v>0</v>
      </c>
      <c r="H41" s="111">
        <v>0</v>
      </c>
      <c r="I41" s="40">
        <v>0</v>
      </c>
      <c r="J41" s="41">
        <v>0</v>
      </c>
    </row>
    <row r="42" spans="1:10" x14ac:dyDescent="0.25">
      <c r="A42" s="149" t="s">
        <v>12</v>
      </c>
      <c r="B42" s="111">
        <v>22.851099999999999</v>
      </c>
      <c r="C42" s="40">
        <v>7720363</v>
      </c>
      <c r="D42" s="41">
        <f t="shared" si="6"/>
        <v>28154.600143246207</v>
      </c>
      <c r="E42" s="111">
        <v>22.0627</v>
      </c>
      <c r="F42" s="40">
        <v>8016346</v>
      </c>
      <c r="G42" s="180">
        <f t="shared" si="8"/>
        <v>30278.652809190778</v>
      </c>
      <c r="H42" s="111">
        <v>22.444199999999999</v>
      </c>
      <c r="I42" s="40">
        <v>9376458</v>
      </c>
      <c r="J42" s="41">
        <f t="shared" si="7"/>
        <v>34813.960845118119</v>
      </c>
    </row>
    <row r="43" spans="1:10" x14ac:dyDescent="0.25">
      <c r="A43" s="149" t="s">
        <v>15</v>
      </c>
      <c r="B43" s="117">
        <v>0</v>
      </c>
      <c r="C43" s="34">
        <v>0</v>
      </c>
      <c r="D43" s="35">
        <v>0</v>
      </c>
      <c r="E43" s="117">
        <v>0</v>
      </c>
      <c r="F43" s="34">
        <v>0</v>
      </c>
      <c r="G43" s="180">
        <v>0</v>
      </c>
      <c r="H43" s="117">
        <v>0</v>
      </c>
      <c r="I43" s="34">
        <v>0</v>
      </c>
      <c r="J43" s="41">
        <v>0</v>
      </c>
    </row>
    <row r="44" spans="1:10" x14ac:dyDescent="0.25">
      <c r="A44" s="149" t="s">
        <v>25</v>
      </c>
      <c r="B44" s="117">
        <v>0</v>
      </c>
      <c r="C44" s="34">
        <v>0</v>
      </c>
      <c r="D44" s="35">
        <v>0</v>
      </c>
      <c r="E44" s="117">
        <v>0</v>
      </c>
      <c r="F44" s="34">
        <v>0</v>
      </c>
      <c r="G44" s="180">
        <v>0</v>
      </c>
      <c r="H44" s="117">
        <v>0</v>
      </c>
      <c r="I44" s="34">
        <v>0</v>
      </c>
      <c r="J44" s="41">
        <v>0</v>
      </c>
    </row>
    <row r="45" spans="1:10" x14ac:dyDescent="0.25">
      <c r="A45" s="365" t="s">
        <v>11</v>
      </c>
      <c r="B45" s="111">
        <v>78.673699999999997</v>
      </c>
      <c r="C45" s="40">
        <v>27555864</v>
      </c>
      <c r="D45" s="41">
        <f t="shared" si="6"/>
        <v>29187.924299988434</v>
      </c>
      <c r="E45" s="111">
        <v>80.021500000000003</v>
      </c>
      <c r="F45" s="40">
        <v>31989968</v>
      </c>
      <c r="G45" s="180">
        <f t="shared" si="8"/>
        <v>33313.930214588159</v>
      </c>
      <c r="H45" s="111">
        <v>80.624700000000004</v>
      </c>
      <c r="I45" s="40">
        <v>35682238</v>
      </c>
      <c r="J45" s="41">
        <f t="shared" si="7"/>
        <v>36881.003381511291</v>
      </c>
    </row>
    <row r="46" spans="1:10" ht="15.75" thickBot="1" x14ac:dyDescent="0.3">
      <c r="A46" s="365" t="s">
        <v>26</v>
      </c>
      <c r="B46" s="111">
        <v>18.291599999999999</v>
      </c>
      <c r="C46" s="40">
        <v>4226479</v>
      </c>
      <c r="D46" s="41">
        <f t="shared" si="6"/>
        <v>19255.099790796503</v>
      </c>
      <c r="E46" s="111">
        <v>18.133800000000001</v>
      </c>
      <c r="F46" s="40">
        <v>4544541</v>
      </c>
      <c r="G46" s="182">
        <f t="shared" si="8"/>
        <v>20884.301690765311</v>
      </c>
      <c r="H46" s="111">
        <v>18.651800000000001</v>
      </c>
      <c r="I46" s="40">
        <v>5551530</v>
      </c>
      <c r="J46" s="201">
        <f t="shared" si="7"/>
        <v>24803.370184110914</v>
      </c>
    </row>
    <row r="47" spans="1:10" ht="15.75" thickBot="1" x14ac:dyDescent="0.3">
      <c r="A47" s="359" t="s">
        <v>65</v>
      </c>
      <c r="B47" s="114">
        <f>SUM(B37:B46)</f>
        <v>446.23199999999997</v>
      </c>
      <c r="C47" s="115">
        <f>SUM(C37:C46)</f>
        <v>167060596</v>
      </c>
      <c r="D47" s="116">
        <f>C47/B47/12</f>
        <v>31198.381858166456</v>
      </c>
      <c r="E47" s="320">
        <f>SUM(E37:E46)</f>
        <v>442.32909999999998</v>
      </c>
      <c r="F47" s="184">
        <f>SUM(F37:F46)</f>
        <v>186696087</v>
      </c>
      <c r="G47" s="185">
        <f t="shared" si="8"/>
        <v>35172.922717496993</v>
      </c>
      <c r="H47" s="114">
        <f>SUM(H37:H46)</f>
        <v>441.49010000000004</v>
      </c>
      <c r="I47" s="200">
        <f>SUM(I37:I46)</f>
        <v>213531316</v>
      </c>
      <c r="J47" s="116">
        <f t="shared" si="7"/>
        <v>40305.040437675343</v>
      </c>
    </row>
    <row r="48" spans="1:10" ht="15.75" thickBot="1" x14ac:dyDescent="0.3">
      <c r="A48" s="367"/>
      <c r="B48" s="367"/>
      <c r="C48" s="367"/>
      <c r="D48" s="367"/>
      <c r="E48" s="367"/>
      <c r="F48" s="367"/>
      <c r="G48" s="367"/>
      <c r="H48" s="367"/>
      <c r="I48" s="367"/>
      <c r="J48" s="367"/>
    </row>
    <row r="49" spans="1:11" ht="15.75" thickBot="1" x14ac:dyDescent="0.3">
      <c r="A49" s="531" t="s">
        <v>71</v>
      </c>
      <c r="B49" s="533" t="s">
        <v>114</v>
      </c>
      <c r="C49" s="534"/>
      <c r="D49" s="535"/>
      <c r="E49" s="525" t="s">
        <v>97</v>
      </c>
      <c r="F49" s="526"/>
      <c r="G49" s="527"/>
      <c r="H49" s="525" t="s">
        <v>113</v>
      </c>
      <c r="I49" s="526"/>
      <c r="J49" s="527"/>
      <c r="K49" s="80"/>
    </row>
    <row r="50" spans="1:11" ht="15.75" thickBot="1" x14ac:dyDescent="0.3">
      <c r="A50" s="532"/>
      <c r="B50" s="118">
        <f>B47+B32+B17</f>
        <v>1673.6582000000001</v>
      </c>
      <c r="C50" s="119">
        <f>C47+C32+C17</f>
        <v>638537501</v>
      </c>
      <c r="D50" s="378">
        <f>C50/B50/12</f>
        <v>31793.503844851159</v>
      </c>
      <c r="E50" s="186">
        <f>E17+E32+E47</f>
        <v>1641.5865000000001</v>
      </c>
      <c r="F50" s="187">
        <f>F17+F32+F47</f>
        <v>710795405</v>
      </c>
      <c r="G50" s="188">
        <f>F50/E50/12</f>
        <v>36082.747035667424</v>
      </c>
      <c r="H50" s="186">
        <f>H17+H32+H47</f>
        <v>1635.8262</v>
      </c>
      <c r="I50" s="187">
        <f>I17+I32+I47</f>
        <v>791654311</v>
      </c>
      <c r="J50" s="188">
        <f>I50/H50/12</f>
        <v>40328.974180345889</v>
      </c>
    </row>
    <row r="51" spans="1:11" x14ac:dyDescent="0.25">
      <c r="B51" s="134"/>
      <c r="C51" s="134"/>
      <c r="D51" s="150"/>
    </row>
    <row r="55" spans="1:11" x14ac:dyDescent="0.25">
      <c r="D55" s="151"/>
    </row>
    <row r="56" spans="1:11" x14ac:dyDescent="0.25">
      <c r="D56" s="151"/>
    </row>
    <row r="58" spans="1:11" x14ac:dyDescent="0.25">
      <c r="D58" s="80"/>
    </row>
    <row r="59" spans="1:11" x14ac:dyDescent="0.25">
      <c r="D59" s="67"/>
    </row>
  </sheetData>
  <mergeCells count="19">
    <mergeCell ref="H49:J49"/>
    <mergeCell ref="H35:J35"/>
    <mergeCell ref="H20:J20"/>
    <mergeCell ref="E49:G49"/>
    <mergeCell ref="A49:A50"/>
    <mergeCell ref="B49:D49"/>
    <mergeCell ref="A4:J4"/>
    <mergeCell ref="A19:J19"/>
    <mergeCell ref="A34:J34"/>
    <mergeCell ref="E35:G35"/>
    <mergeCell ref="E5:G5"/>
    <mergeCell ref="A35:A36"/>
    <mergeCell ref="B35:D35"/>
    <mergeCell ref="A5:A6"/>
    <mergeCell ref="H5:J5"/>
    <mergeCell ref="B5:D5"/>
    <mergeCell ref="A20:A21"/>
    <mergeCell ref="B20:D20"/>
    <mergeCell ref="E20:G20"/>
  </mergeCells>
  <pageMargins left="0.23622047244094491" right="0.23622047244094491" top="0.15748031496062992" bottom="0.27559055118110237" header="0.31496062992125984" footer="0.31496062992125984"/>
  <pageSetup paperSize="9" scale="97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3:K13"/>
  <sheetViews>
    <sheetView workbookViewId="0">
      <selection activeCell="K11" sqref="K11"/>
    </sheetView>
  </sheetViews>
  <sheetFormatPr defaultColWidth="9.140625" defaultRowHeight="15" x14ac:dyDescent="0.25"/>
  <cols>
    <col min="1" max="1" width="14.7109375" style="1" customWidth="1"/>
    <col min="2" max="6" width="11.28515625" style="1" customWidth="1"/>
    <col min="7" max="7" width="11.42578125" style="1" customWidth="1"/>
    <col min="8" max="9" width="9.140625" style="1"/>
    <col min="10" max="10" width="10.7109375" style="1" customWidth="1"/>
    <col min="11" max="16384" width="9.140625" style="1"/>
  </cols>
  <sheetData>
    <row r="3" spans="1:11" x14ac:dyDescent="0.25">
      <c r="A3" s="3" t="s">
        <v>18</v>
      </c>
      <c r="B3" s="145"/>
      <c r="C3" s="145"/>
      <c r="D3" s="145"/>
      <c r="E3" s="145"/>
      <c r="F3" s="145"/>
    </row>
    <row r="4" spans="1:11" ht="15.75" thickBot="1" x14ac:dyDescent="0.3"/>
    <row r="5" spans="1:11" ht="15" customHeight="1" x14ac:dyDescent="0.25">
      <c r="A5" s="407" t="s">
        <v>2</v>
      </c>
      <c r="B5" s="409">
        <v>2019</v>
      </c>
      <c r="C5" s="410"/>
      <c r="D5" s="410"/>
      <c r="E5" s="410"/>
      <c r="F5" s="411"/>
      <c r="G5" s="409">
        <v>2020</v>
      </c>
      <c r="H5" s="410"/>
      <c r="I5" s="410"/>
      <c r="J5" s="410"/>
      <c r="K5" s="411"/>
    </row>
    <row r="6" spans="1:11" ht="23.25" thickBot="1" x14ac:dyDescent="0.3">
      <c r="A6" s="408"/>
      <c r="B6" s="32" t="s">
        <v>3</v>
      </c>
      <c r="C6" s="30" t="s">
        <v>4</v>
      </c>
      <c r="D6" s="30" t="s">
        <v>5</v>
      </c>
      <c r="E6" s="31" t="s">
        <v>6</v>
      </c>
      <c r="F6" s="9" t="s">
        <v>7</v>
      </c>
      <c r="G6" s="32" t="s">
        <v>3</v>
      </c>
      <c r="H6" s="30" t="s">
        <v>4</v>
      </c>
      <c r="I6" s="30" t="s">
        <v>5</v>
      </c>
      <c r="J6" s="31" t="s">
        <v>6</v>
      </c>
      <c r="K6" s="9" t="s">
        <v>7</v>
      </c>
    </row>
    <row r="7" spans="1:11" ht="15.75" thickTop="1" x14ac:dyDescent="0.25">
      <c r="A7" s="33" t="s">
        <v>93</v>
      </c>
      <c r="B7" s="216">
        <f>'1'!C7/'1'!B7</f>
        <v>168132.39611650485</v>
      </c>
      <c r="C7" s="217">
        <f>'1'!D7/'1'!B7</f>
        <v>17142.605825242717</v>
      </c>
      <c r="D7" s="217">
        <f>'1'!E7/'1'!B7</f>
        <v>18863.493203883496</v>
      </c>
      <c r="E7" s="217">
        <f>'1'!F7/'1'!B7</f>
        <v>7383.5669902912623</v>
      </c>
      <c r="F7" s="198">
        <f>'1'!G7/'1'!B7</f>
        <v>211522.06213592234</v>
      </c>
      <c r="G7" s="36">
        <f>'1'!I7/'1'!H7</f>
        <v>193507.36928702012</v>
      </c>
      <c r="H7" s="34">
        <f>'1'!J7/'1'!H7</f>
        <v>15855.210237659963</v>
      </c>
      <c r="I7" s="34">
        <f>'1'!K7/'1'!H7</f>
        <v>22851.047001828156</v>
      </c>
      <c r="J7" s="34">
        <f>'1'!L7/'1'!H7</f>
        <v>1025.1133455210238</v>
      </c>
      <c r="K7" s="35">
        <f>'1'!M7/'1'!H7</f>
        <v>233238.73987202925</v>
      </c>
    </row>
    <row r="8" spans="1:11" x14ac:dyDescent="0.25">
      <c r="A8" s="37" t="s">
        <v>82</v>
      </c>
      <c r="B8" s="36">
        <f>'1'!C8/'1'!B8</f>
        <v>78706.321916346569</v>
      </c>
      <c r="C8" s="34">
        <f>'1'!D8/'1'!B8</f>
        <v>18364.954457959881</v>
      </c>
      <c r="D8" s="34">
        <f>'1'!E8/'1'!B8</f>
        <v>4294.9327784891166</v>
      </c>
      <c r="E8" s="34">
        <f>'1'!F8/'1'!B8</f>
        <v>3892.0430644472899</v>
      </c>
      <c r="F8" s="35">
        <f>'1'!G8/'1'!B8</f>
        <v>105258.25221724286</v>
      </c>
      <c r="G8" s="36">
        <f>'1'!I8/'1'!H8</f>
        <v>87535.440867003374</v>
      </c>
      <c r="H8" s="34">
        <f>'1'!J8/'1'!H8</f>
        <v>27692.286405723906</v>
      </c>
      <c r="I8" s="34">
        <f>'1'!K8/'1'!H8</f>
        <v>1212.1358059764309</v>
      </c>
      <c r="J8" s="34">
        <f>'1'!L8/'1'!H8</f>
        <v>1307.1257954545456</v>
      </c>
      <c r="K8" s="35">
        <f>'1'!M8/'1'!H8</f>
        <v>117746.98887415825</v>
      </c>
    </row>
    <row r="9" spans="1:11" x14ac:dyDescent="0.25">
      <c r="A9" s="37" t="s">
        <v>11</v>
      </c>
      <c r="B9" s="36">
        <f>'1'!C9/'1'!B9</f>
        <v>433304.04210526316</v>
      </c>
      <c r="C9" s="34">
        <f>'1'!D9/'1'!B9</f>
        <v>127419.12742105263</v>
      </c>
      <c r="D9" s="34">
        <f>'1'!E9/'1'!B9</f>
        <v>36952.521052631579</v>
      </c>
      <c r="E9" s="34">
        <f>'1'!F9/'1'!B9</f>
        <v>0</v>
      </c>
      <c r="F9" s="35">
        <f>'1'!G9/'1'!B9</f>
        <v>597675.69057894743</v>
      </c>
      <c r="G9" s="36">
        <f>'1'!I9/'1'!H9</f>
        <v>449567.37305699481</v>
      </c>
      <c r="H9" s="34">
        <f>'1'!J9/'1'!H9</f>
        <v>112127.46113989638</v>
      </c>
      <c r="I9" s="34">
        <f>'1'!K9/'1'!H9</f>
        <v>83924.331606217616</v>
      </c>
      <c r="J9" s="34">
        <f>'1'!L9/'1'!H9</f>
        <v>32441.58549222798</v>
      </c>
      <c r="K9" s="35">
        <f>'1'!M9/'1'!H9</f>
        <v>678060.75129533675</v>
      </c>
    </row>
    <row r="10" spans="1:11" x14ac:dyDescent="0.25">
      <c r="A10" s="37" t="s">
        <v>12</v>
      </c>
      <c r="B10" s="36">
        <f>'1'!C10/'1'!B10</f>
        <v>38386.222333000995</v>
      </c>
      <c r="C10" s="34">
        <f>'1'!D10/'1'!B10</f>
        <v>10369.661734795614</v>
      </c>
      <c r="D10" s="34">
        <f>'1'!E10/'1'!B10</f>
        <v>32954.045862412764</v>
      </c>
      <c r="E10" s="34">
        <f>'1'!F10/'1'!B10</f>
        <v>0</v>
      </c>
      <c r="F10" s="35">
        <f>'1'!G10/'1'!B10</f>
        <v>81709.929930209371</v>
      </c>
      <c r="G10" s="36">
        <f>'1'!I10/'1'!H10</f>
        <v>40808.128103277064</v>
      </c>
      <c r="H10" s="34">
        <f>'1'!J10/'1'!H10</f>
        <v>7699.6027805362464</v>
      </c>
      <c r="I10" s="34">
        <f>'1'!K10/'1'!H10</f>
        <v>261.51787487586893</v>
      </c>
      <c r="J10" s="34">
        <f>'1'!L10/'1'!H10</f>
        <v>1344.8113207547169</v>
      </c>
      <c r="K10" s="35">
        <f>'1'!M10/'1'!H10</f>
        <v>50114.060079443894</v>
      </c>
    </row>
    <row r="11" spans="1:11" x14ac:dyDescent="0.25">
      <c r="A11" s="77" t="s">
        <v>13</v>
      </c>
      <c r="B11" s="210">
        <f>'1'!C11/'1'!B11</f>
        <v>31405.755555555555</v>
      </c>
      <c r="C11" s="113">
        <f>'1'!D11/'1'!B11</f>
        <v>2188.8888888888887</v>
      </c>
      <c r="D11" s="113">
        <f>'1'!E11/'1'!B11</f>
        <v>277.77777777777777</v>
      </c>
      <c r="E11" s="113">
        <f>'1'!F11/'1'!B11</f>
        <v>0</v>
      </c>
      <c r="F11" s="211">
        <f>'1'!G11/'1'!B11</f>
        <v>33872.422222222223</v>
      </c>
      <c r="G11" s="210">
        <f>'1'!I11/'1'!H11</f>
        <v>27080.088888888888</v>
      </c>
      <c r="H11" s="113">
        <f>'1'!J11/'1'!H11</f>
        <v>4140.2333333333336</v>
      </c>
      <c r="I11" s="113">
        <f>'1'!K11/'1'!H11</f>
        <v>277.77777777777777</v>
      </c>
      <c r="J11" s="113">
        <f>'1'!L11/'1'!H11</f>
        <v>0</v>
      </c>
      <c r="K11" s="211">
        <f>'1'!M11/'1'!H11</f>
        <v>31498.1</v>
      </c>
    </row>
    <row r="12" spans="1:11" ht="15.75" thickBot="1" x14ac:dyDescent="0.3">
      <c r="A12" s="42" t="s">
        <v>15</v>
      </c>
      <c r="B12" s="208">
        <v>0</v>
      </c>
      <c r="C12" s="209">
        <v>0</v>
      </c>
      <c r="D12" s="209">
        <v>0</v>
      </c>
      <c r="E12" s="209">
        <v>0</v>
      </c>
      <c r="F12" s="44">
        <v>0</v>
      </c>
      <c r="G12" s="208">
        <v>0</v>
      </c>
      <c r="H12" s="212">
        <v>0</v>
      </c>
      <c r="I12" s="212">
        <v>0</v>
      </c>
      <c r="J12" s="212">
        <v>0</v>
      </c>
      <c r="K12" s="218">
        <v>0</v>
      </c>
    </row>
    <row r="13" spans="1:11" x14ac:dyDescent="0.25">
      <c r="F13" s="132"/>
    </row>
  </sheetData>
  <mergeCells count="3">
    <mergeCell ref="A5:A6"/>
    <mergeCell ref="G5:K5"/>
    <mergeCell ref="B5:F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3:O25"/>
  <sheetViews>
    <sheetView workbookViewId="0">
      <selection activeCell="I7" sqref="I7"/>
    </sheetView>
  </sheetViews>
  <sheetFormatPr defaultColWidth="9.140625" defaultRowHeight="15" x14ac:dyDescent="0.25"/>
  <cols>
    <col min="1" max="1" width="8.42578125" style="1" customWidth="1"/>
    <col min="2" max="2" width="15.7109375" style="1" customWidth="1"/>
    <col min="3" max="3" width="11.7109375" style="1" customWidth="1"/>
    <col min="4" max="4" width="9.140625" style="1"/>
    <col min="5" max="5" width="11.28515625" style="1" customWidth="1"/>
    <col min="6" max="6" width="11" style="1" customWidth="1"/>
    <col min="7" max="8" width="11.140625" style="1" customWidth="1"/>
    <col min="9" max="9" width="9.140625" style="1"/>
    <col min="10" max="10" width="12.5703125" style="1" customWidth="1"/>
    <col min="11" max="11" width="11.140625" style="1" customWidth="1"/>
    <col min="12" max="12" width="13.140625" style="1" customWidth="1"/>
    <col min="13" max="13" width="13" style="1" customWidth="1"/>
    <col min="14" max="14" width="14.28515625" style="1" customWidth="1"/>
    <col min="15" max="16384" width="9.140625" style="1"/>
  </cols>
  <sheetData>
    <row r="3" spans="1:15" x14ac:dyDescent="0.25">
      <c r="A3" s="3" t="s">
        <v>19</v>
      </c>
    </row>
    <row r="4" spans="1:15" ht="15.75" thickBot="1" x14ac:dyDescent="0.3"/>
    <row r="5" spans="1:15" ht="15" customHeight="1" x14ac:dyDescent="0.25">
      <c r="A5" s="407" t="s">
        <v>2</v>
      </c>
      <c r="B5" s="412" t="s">
        <v>96</v>
      </c>
      <c r="C5" s="412"/>
      <c r="D5" s="412"/>
      <c r="E5" s="412"/>
      <c r="F5" s="412"/>
      <c r="G5" s="412"/>
      <c r="H5" s="413"/>
      <c r="I5" s="412" t="s">
        <v>99</v>
      </c>
      <c r="J5" s="412"/>
      <c r="K5" s="412"/>
      <c r="L5" s="412"/>
      <c r="M5" s="412"/>
      <c r="N5" s="412"/>
      <c r="O5" s="413"/>
    </row>
    <row r="6" spans="1:15" ht="57.75" customHeight="1" thickBot="1" x14ac:dyDescent="0.3">
      <c r="A6" s="408"/>
      <c r="B6" s="45" t="s">
        <v>20</v>
      </c>
      <c r="C6" s="8" t="s">
        <v>21</v>
      </c>
      <c r="D6" s="8" t="s">
        <v>22</v>
      </c>
      <c r="E6" s="8" t="s">
        <v>23</v>
      </c>
      <c r="F6" s="8" t="s">
        <v>6</v>
      </c>
      <c r="G6" s="46" t="s">
        <v>32</v>
      </c>
      <c r="H6" s="47" t="s">
        <v>94</v>
      </c>
      <c r="I6" s="45" t="s">
        <v>20</v>
      </c>
      <c r="J6" s="8" t="s">
        <v>21</v>
      </c>
      <c r="K6" s="8" t="s">
        <v>22</v>
      </c>
      <c r="L6" s="8" t="s">
        <v>23</v>
      </c>
      <c r="M6" s="8" t="s">
        <v>6</v>
      </c>
      <c r="N6" s="46" t="s">
        <v>32</v>
      </c>
      <c r="O6" s="47" t="s">
        <v>94</v>
      </c>
    </row>
    <row r="7" spans="1:15" ht="24.75" customHeight="1" thickTop="1" x14ac:dyDescent="0.25">
      <c r="A7" s="48" t="s">
        <v>24</v>
      </c>
      <c r="B7" s="49">
        <v>8703</v>
      </c>
      <c r="C7" s="213">
        <v>364971253</v>
      </c>
      <c r="D7" s="50">
        <v>2629785</v>
      </c>
      <c r="E7" s="49">
        <v>136746110</v>
      </c>
      <c r="F7" s="12">
        <v>35849731.869999997</v>
      </c>
      <c r="G7" s="51">
        <f>C7+D7+E7+F7</f>
        <v>540196879.87</v>
      </c>
      <c r="H7" s="52">
        <f t="shared" ref="H7:H13" si="0">G7/$G$14*100</f>
        <v>20.044491534170838</v>
      </c>
      <c r="I7" s="49">
        <v>8531</v>
      </c>
      <c r="J7" s="213">
        <v>406449133</v>
      </c>
      <c r="K7" s="50">
        <v>2051927</v>
      </c>
      <c r="L7" s="49">
        <v>153474263</v>
      </c>
      <c r="M7" s="12">
        <v>6385305</v>
      </c>
      <c r="N7" s="51">
        <f>J7+K7+L7+M7</f>
        <v>568360628</v>
      </c>
      <c r="O7" s="52">
        <f t="shared" ref="O7:O13" si="1">N7/$N$14*100</f>
        <v>19.06010704593011</v>
      </c>
    </row>
    <row r="8" spans="1:15" ht="24.75" customHeight="1" x14ac:dyDescent="0.25">
      <c r="A8" s="53" t="s">
        <v>80</v>
      </c>
      <c r="B8" s="54">
        <v>23577</v>
      </c>
      <c r="C8" s="55">
        <v>974084311</v>
      </c>
      <c r="D8" s="56">
        <v>11520709</v>
      </c>
      <c r="E8" s="49">
        <v>363023074</v>
      </c>
      <c r="F8" s="51">
        <v>95798541.299999997</v>
      </c>
      <c r="G8" s="51">
        <f t="shared" ref="G8:G13" si="2">C8+D8+E8+F8</f>
        <v>1444426635.3</v>
      </c>
      <c r="H8" s="52">
        <f t="shared" si="0"/>
        <v>53.596750632786502</v>
      </c>
      <c r="I8" s="54">
        <v>23533</v>
      </c>
      <c r="J8" s="55">
        <v>1155340219</v>
      </c>
      <c r="K8" s="56">
        <v>9771071</v>
      </c>
      <c r="L8" s="49">
        <v>478039036</v>
      </c>
      <c r="M8" s="51">
        <v>18022721.879999999</v>
      </c>
      <c r="N8" s="51">
        <f t="shared" ref="N8:N13" si="3">J8+K8+L8+M8</f>
        <v>1661173047.8800001</v>
      </c>
      <c r="O8" s="52">
        <f t="shared" si="1"/>
        <v>55.707828013742692</v>
      </c>
    </row>
    <row r="9" spans="1:15" ht="24.75" customHeight="1" x14ac:dyDescent="0.25">
      <c r="A9" s="165" t="s">
        <v>81</v>
      </c>
      <c r="B9" s="54">
        <v>872</v>
      </c>
      <c r="C9" s="55">
        <v>74182411</v>
      </c>
      <c r="D9" s="57">
        <v>663596</v>
      </c>
      <c r="E9" s="49">
        <v>45478945</v>
      </c>
      <c r="F9" s="17">
        <v>3191673</v>
      </c>
      <c r="G9" s="51">
        <f t="shared" si="2"/>
        <v>123516625</v>
      </c>
      <c r="H9" s="52">
        <f t="shared" si="0"/>
        <v>4.5831955651755516</v>
      </c>
      <c r="I9" s="54">
        <v>867</v>
      </c>
      <c r="J9" s="55">
        <v>78586441</v>
      </c>
      <c r="K9" s="57">
        <v>553440</v>
      </c>
      <c r="L9" s="49">
        <v>31446116</v>
      </c>
      <c r="M9" s="17">
        <v>774295</v>
      </c>
      <c r="N9" s="51">
        <f t="shared" si="3"/>
        <v>111360292</v>
      </c>
      <c r="O9" s="52">
        <f t="shared" si="1"/>
        <v>3.7344935268563932</v>
      </c>
    </row>
    <row r="10" spans="1:15" ht="24.75" customHeight="1" x14ac:dyDescent="0.25">
      <c r="A10" s="53" t="s">
        <v>13</v>
      </c>
      <c r="B10" s="54">
        <v>9496</v>
      </c>
      <c r="C10" s="55">
        <v>156745406</v>
      </c>
      <c r="D10" s="57">
        <v>1003810</v>
      </c>
      <c r="E10" s="49">
        <v>57532499</v>
      </c>
      <c r="F10" s="17">
        <v>13041893</v>
      </c>
      <c r="G10" s="51">
        <f t="shared" si="2"/>
        <v>228323608</v>
      </c>
      <c r="H10" s="52">
        <f t="shared" si="0"/>
        <v>8.4721530207814624</v>
      </c>
      <c r="I10" s="54">
        <v>9524</v>
      </c>
      <c r="J10" s="55">
        <v>174985377</v>
      </c>
      <c r="K10" s="57">
        <v>1248049</v>
      </c>
      <c r="L10" s="49">
        <v>63821803</v>
      </c>
      <c r="M10" s="17">
        <v>60402</v>
      </c>
      <c r="N10" s="51">
        <f t="shared" si="3"/>
        <v>240115631</v>
      </c>
      <c r="O10" s="52">
        <f t="shared" si="1"/>
        <v>8.0523340372216179</v>
      </c>
    </row>
    <row r="11" spans="1:15" ht="24.75" customHeight="1" x14ac:dyDescent="0.25">
      <c r="A11" s="53" t="s">
        <v>25</v>
      </c>
      <c r="B11" s="54">
        <v>7796</v>
      </c>
      <c r="C11" s="55">
        <v>96876241</v>
      </c>
      <c r="D11" s="56">
        <v>0</v>
      </c>
      <c r="E11" s="49">
        <v>35113198</v>
      </c>
      <c r="F11" s="17">
        <v>0</v>
      </c>
      <c r="G11" s="51">
        <f t="shared" si="2"/>
        <v>131989439</v>
      </c>
      <c r="H11" s="52">
        <f t="shared" si="0"/>
        <v>4.8975869562077898</v>
      </c>
      <c r="I11" s="54">
        <v>7448</v>
      </c>
      <c r="J11" s="55">
        <v>105410604</v>
      </c>
      <c r="K11" s="56">
        <v>70000</v>
      </c>
      <c r="L11" s="49">
        <v>38145217</v>
      </c>
      <c r="M11" s="17">
        <v>0</v>
      </c>
      <c r="N11" s="51">
        <f t="shared" si="3"/>
        <v>143625821</v>
      </c>
      <c r="O11" s="52">
        <f t="shared" si="1"/>
        <v>4.8165256141204713</v>
      </c>
    </row>
    <row r="12" spans="1:15" ht="24.75" customHeight="1" x14ac:dyDescent="0.25">
      <c r="A12" s="53" t="s">
        <v>26</v>
      </c>
      <c r="B12" s="54">
        <v>25331</v>
      </c>
      <c r="C12" s="55">
        <v>113355285</v>
      </c>
      <c r="D12" s="56">
        <v>20000</v>
      </c>
      <c r="E12" s="49">
        <v>42236824</v>
      </c>
      <c r="F12" s="17">
        <v>0</v>
      </c>
      <c r="G12" s="51">
        <f t="shared" si="2"/>
        <v>155612109</v>
      </c>
      <c r="H12" s="52">
        <f t="shared" si="0"/>
        <v>5.7741273926195325</v>
      </c>
      <c r="I12" s="54">
        <v>25262</v>
      </c>
      <c r="J12" s="55">
        <v>140202339</v>
      </c>
      <c r="K12" s="56">
        <v>276578</v>
      </c>
      <c r="L12" s="49">
        <v>51778677</v>
      </c>
      <c r="M12" s="17">
        <v>0</v>
      </c>
      <c r="N12" s="51">
        <f t="shared" si="3"/>
        <v>192257594</v>
      </c>
      <c r="O12" s="52">
        <f t="shared" si="1"/>
        <v>6.447403534843323</v>
      </c>
    </row>
    <row r="13" spans="1:15" ht="24.75" customHeight="1" thickBot="1" x14ac:dyDescent="0.3">
      <c r="A13" s="58" t="s">
        <v>15</v>
      </c>
      <c r="B13" s="21">
        <v>12318</v>
      </c>
      <c r="C13" s="59">
        <v>36777848</v>
      </c>
      <c r="D13" s="60">
        <v>8921113</v>
      </c>
      <c r="E13" s="22">
        <v>16801166</v>
      </c>
      <c r="F13" s="61">
        <v>8423766</v>
      </c>
      <c r="G13" s="61">
        <f t="shared" si="2"/>
        <v>70923893</v>
      </c>
      <c r="H13" s="140">
        <f t="shared" si="0"/>
        <v>2.6316948982583144</v>
      </c>
      <c r="I13" s="21">
        <v>11983</v>
      </c>
      <c r="J13" s="59">
        <v>40084451</v>
      </c>
      <c r="K13" s="60">
        <v>7236402</v>
      </c>
      <c r="L13" s="22">
        <v>17397536</v>
      </c>
      <c r="M13" s="61">
        <v>326876.01</v>
      </c>
      <c r="N13" s="61">
        <f t="shared" si="3"/>
        <v>65045265.009999998</v>
      </c>
      <c r="O13" s="140">
        <f t="shared" si="1"/>
        <v>2.1813082272853923</v>
      </c>
    </row>
    <row r="14" spans="1:15" ht="24.75" customHeight="1" thickTop="1" thickBot="1" x14ac:dyDescent="0.3">
      <c r="A14" s="62" t="s">
        <v>27</v>
      </c>
      <c r="B14" s="63">
        <f>SUM(B7:B13)</f>
        <v>88093</v>
      </c>
      <c r="C14" s="64">
        <f>SUM(C7:C13)</f>
        <v>1816992755</v>
      </c>
      <c r="D14" s="64">
        <f t="shared" ref="D14:G14" si="4">SUM(D7:D13)</f>
        <v>24759013</v>
      </c>
      <c r="E14" s="64">
        <f t="shared" si="4"/>
        <v>696931816</v>
      </c>
      <c r="F14" s="64">
        <f t="shared" si="4"/>
        <v>156305605.16999999</v>
      </c>
      <c r="G14" s="64">
        <f t="shared" si="4"/>
        <v>2694989189.1700001</v>
      </c>
      <c r="H14" s="65">
        <f>SUM(H7:H13)</f>
        <v>100</v>
      </c>
      <c r="I14" s="63">
        <f>SUM(I7:I13)</f>
        <v>87148</v>
      </c>
      <c r="J14" s="64">
        <f>SUM(J7:J13)</f>
        <v>2101058564</v>
      </c>
      <c r="K14" s="64">
        <f>SUM(K7:K13)</f>
        <v>21207467</v>
      </c>
      <c r="L14" s="64">
        <f t="shared" ref="L14:M14" si="5">SUM(L7:L13)</f>
        <v>834102648</v>
      </c>
      <c r="M14" s="64">
        <f t="shared" si="5"/>
        <v>25569599.890000001</v>
      </c>
      <c r="N14" s="64">
        <f>SUM(N7:N13)</f>
        <v>2981938278.8900003</v>
      </c>
      <c r="O14" s="65">
        <f>SUM(O7:O13)</f>
        <v>99.999999999999986</v>
      </c>
    </row>
    <row r="15" spans="1:15" x14ac:dyDescent="0.25">
      <c r="C15" s="67"/>
    </row>
    <row r="17" spans="2:14" x14ac:dyDescent="0.25">
      <c r="L17" s="67"/>
      <c r="M17" s="67"/>
      <c r="N17" s="67"/>
    </row>
    <row r="24" spans="2:14" x14ac:dyDescent="0.25">
      <c r="B24" s="67"/>
    </row>
    <row r="25" spans="2:14" x14ac:dyDescent="0.25">
      <c r="C25" s="67"/>
    </row>
  </sheetData>
  <mergeCells count="3">
    <mergeCell ref="A5:A6"/>
    <mergeCell ref="I5:O5"/>
    <mergeCell ref="B5:H5"/>
  </mergeCells>
  <pageMargins left="0.28000000000000003" right="0.2" top="0.78740157499999996" bottom="0.78740157499999996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3"/>
  <sheetViews>
    <sheetView workbookViewId="0">
      <selection activeCell="S27" sqref="S27"/>
    </sheetView>
  </sheetViews>
  <sheetFormatPr defaultColWidth="9.140625" defaultRowHeight="15" x14ac:dyDescent="0.25"/>
  <cols>
    <col min="1" max="1" width="19.5703125" style="1" customWidth="1"/>
    <col min="2" max="5" width="9.140625" style="1"/>
    <col min="6" max="6" width="10.7109375" style="1" customWidth="1"/>
    <col min="7" max="7" width="11.5703125" style="1" customWidth="1"/>
    <col min="8" max="8" width="9.140625" style="1"/>
    <col min="9" max="9" width="10.42578125" style="1" customWidth="1"/>
    <col min="10" max="10" width="10.140625" style="1" customWidth="1"/>
    <col min="11" max="11" width="11.85546875" style="1" customWidth="1"/>
    <col min="12" max="12" width="10" style="1" customWidth="1"/>
    <col min="13" max="13" width="10.28515625" style="1" customWidth="1"/>
    <col min="14" max="16384" width="9.140625" style="1"/>
  </cols>
  <sheetData>
    <row r="3" spans="1:13" x14ac:dyDescent="0.25">
      <c r="A3" s="3" t="s">
        <v>28</v>
      </c>
    </row>
    <row r="4" spans="1:13" ht="15.75" thickBot="1" x14ac:dyDescent="0.3"/>
    <row r="5" spans="1:13" ht="15" customHeight="1" x14ac:dyDescent="0.25">
      <c r="A5" s="407" t="s">
        <v>2</v>
      </c>
      <c r="B5" s="414" t="s">
        <v>96</v>
      </c>
      <c r="C5" s="412"/>
      <c r="D5" s="412"/>
      <c r="E5" s="412"/>
      <c r="F5" s="412"/>
      <c r="G5" s="413"/>
      <c r="H5" s="414" t="s">
        <v>99</v>
      </c>
      <c r="I5" s="412"/>
      <c r="J5" s="412"/>
      <c r="K5" s="412"/>
      <c r="L5" s="412"/>
      <c r="M5" s="413"/>
    </row>
    <row r="6" spans="1:13" ht="34.5" thickBot="1" x14ac:dyDescent="0.3">
      <c r="A6" s="408"/>
      <c r="B6" s="32" t="s">
        <v>20</v>
      </c>
      <c r="C6" s="30" t="s">
        <v>29</v>
      </c>
      <c r="D6" s="30" t="s">
        <v>22</v>
      </c>
      <c r="E6" s="30" t="s">
        <v>23</v>
      </c>
      <c r="F6" s="8" t="s">
        <v>6</v>
      </c>
      <c r="G6" s="9" t="s">
        <v>30</v>
      </c>
      <c r="H6" s="32" t="s">
        <v>20</v>
      </c>
      <c r="I6" s="30" t="s">
        <v>29</v>
      </c>
      <c r="J6" s="30" t="s">
        <v>22</v>
      </c>
      <c r="K6" s="30" t="s">
        <v>23</v>
      </c>
      <c r="L6" s="8" t="s">
        <v>6</v>
      </c>
      <c r="M6" s="9" t="s">
        <v>30</v>
      </c>
    </row>
    <row r="7" spans="1:13" ht="25.5" customHeight="1" thickTop="1" x14ac:dyDescent="0.25">
      <c r="A7" s="33" t="s">
        <v>24</v>
      </c>
      <c r="B7" s="196">
        <f>'3'!B7</f>
        <v>8703</v>
      </c>
      <c r="C7" s="197">
        <f>'3'!C7/'3'!B7</f>
        <v>41936.257957026311</v>
      </c>
      <c r="D7" s="197">
        <f>'3'!D7/'3'!B7</f>
        <v>302.16994139951743</v>
      </c>
      <c r="E7" s="197">
        <f>'3'!E7/'3'!B7</f>
        <v>15712.525565896818</v>
      </c>
      <c r="F7" s="197">
        <f>'3'!F7/'3'!B7</f>
        <v>4119.2384085947369</v>
      </c>
      <c r="G7" s="198">
        <f>SUM(C7:F7)</f>
        <v>62070.191872917378</v>
      </c>
      <c r="H7" s="39">
        <f>'3'!I7</f>
        <v>8531</v>
      </c>
      <c r="I7" s="34">
        <f>'3'!J7/'3'!$I$7</f>
        <v>47643.785370999882</v>
      </c>
      <c r="J7" s="34">
        <f>'3'!K7/'3'!$I$7</f>
        <v>240.52596413081702</v>
      </c>
      <c r="K7" s="34">
        <f>'3'!L7/'3'!$I$7</f>
        <v>17990.184386355642</v>
      </c>
      <c r="L7" s="34">
        <f>'3'!M7/'3'!$I$7</f>
        <v>748.48259289649513</v>
      </c>
      <c r="M7" s="198">
        <f>I7+J7+K7+L7</f>
        <v>66622.978314382839</v>
      </c>
    </row>
    <row r="8" spans="1:13" ht="25.5" customHeight="1" x14ac:dyDescent="0.25">
      <c r="A8" s="37" t="s">
        <v>80</v>
      </c>
      <c r="B8" s="11">
        <f>'3'!B8</f>
        <v>23577</v>
      </c>
      <c r="C8" s="34">
        <f>'3'!C8/'3'!B8</f>
        <v>41315.023582304791</v>
      </c>
      <c r="D8" s="34">
        <f>'3'!D8/'3'!B8</f>
        <v>488.64185434957795</v>
      </c>
      <c r="E8" s="34">
        <f>'3'!E8/'3'!B8</f>
        <v>15397.339525809051</v>
      </c>
      <c r="F8" s="34">
        <f>'3'!F8/'3'!B8</f>
        <v>4063.2201425117696</v>
      </c>
      <c r="G8" s="41">
        <f t="shared" ref="G8:G12" si="0">SUM(C8:F8)</f>
        <v>61264.225104975187</v>
      </c>
      <c r="H8" s="39">
        <f>'3'!I8</f>
        <v>23533</v>
      </c>
      <c r="I8" s="34">
        <f>'3'!J8/'3'!$I$8</f>
        <v>49094.47240045893</v>
      </c>
      <c r="J8" s="34">
        <f>'3'!K8/'3'!$I$8</f>
        <v>415.20719840224365</v>
      </c>
      <c r="K8" s="34">
        <f>'3'!L8/'3'!$I$8</f>
        <v>20313.561211915185</v>
      </c>
      <c r="L8" s="34">
        <f>'3'!M8/'3'!$I$8</f>
        <v>765.84888794458845</v>
      </c>
      <c r="M8" s="41">
        <f t="shared" ref="M8:M12" si="1">I8+J8+K8+L8</f>
        <v>70589.089698720956</v>
      </c>
    </row>
    <row r="9" spans="1:13" ht="25.5" customHeight="1" x14ac:dyDescent="0.25">
      <c r="A9" s="37" t="s">
        <v>81</v>
      </c>
      <c r="B9" s="11">
        <f>'3'!B9</f>
        <v>872</v>
      </c>
      <c r="C9" s="34">
        <f>'3'!C9/'3'!B9</f>
        <v>85071.572247706426</v>
      </c>
      <c r="D9" s="34">
        <f>'3'!D9/'3'!B9</f>
        <v>761.00458715596335</v>
      </c>
      <c r="E9" s="34">
        <f>'3'!E9/'3'!B9</f>
        <v>52154.753440366971</v>
      </c>
      <c r="F9" s="34">
        <f>'3'!F9/'3'!B9</f>
        <v>3660.1754587155965</v>
      </c>
      <c r="G9" s="41">
        <f t="shared" si="0"/>
        <v>141647.50573394494</v>
      </c>
      <c r="H9" s="39">
        <f>'3'!I9</f>
        <v>867</v>
      </c>
      <c r="I9" s="34">
        <f>'3'!J9/'3'!$I$9</f>
        <v>90641.80046136101</v>
      </c>
      <c r="J9" s="34">
        <f>'3'!K9/'3'!$I$9</f>
        <v>638.33910034602081</v>
      </c>
      <c r="K9" s="34">
        <f>'3'!L9/'3'!$I$9</f>
        <v>36270.029988465976</v>
      </c>
      <c r="L9" s="34">
        <f>'3'!M9/'3'!$I$9</f>
        <v>893.07381776239913</v>
      </c>
      <c r="M9" s="41">
        <f t="shared" si="1"/>
        <v>128443.24336793541</v>
      </c>
    </row>
    <row r="10" spans="1:13" ht="25.5" customHeight="1" x14ac:dyDescent="0.25">
      <c r="A10" s="37" t="s">
        <v>13</v>
      </c>
      <c r="B10" s="11">
        <f>'3'!B10</f>
        <v>9496</v>
      </c>
      <c r="C10" s="34">
        <f>'3'!C10/'3'!B10</f>
        <v>16506.466512215669</v>
      </c>
      <c r="D10" s="34">
        <f>'3'!D10/'3'!B10</f>
        <v>105.70871946082561</v>
      </c>
      <c r="E10" s="34">
        <f>'3'!E10/'3'!B10</f>
        <v>6058.6035172704296</v>
      </c>
      <c r="F10" s="34">
        <f>'3'!F10/'3'!B10</f>
        <v>1373.4091196293175</v>
      </c>
      <c r="G10" s="41">
        <f t="shared" si="0"/>
        <v>24044.187868576242</v>
      </c>
      <c r="H10" s="39">
        <f>'3'!I10</f>
        <v>9524</v>
      </c>
      <c r="I10" s="34">
        <f>'3'!J10/'3'!$I$10</f>
        <v>18373.097123057538</v>
      </c>
      <c r="J10" s="34">
        <f>'3'!K10/'3'!$I$10</f>
        <v>131.04252414951702</v>
      </c>
      <c r="K10" s="34">
        <f>'3'!L10/'3'!$I$10</f>
        <v>6701.1552918941625</v>
      </c>
      <c r="L10" s="34">
        <f>'3'!M10/'3'!$I$10</f>
        <v>6.3420831583368331</v>
      </c>
      <c r="M10" s="41">
        <f t="shared" si="1"/>
        <v>25211.637022259554</v>
      </c>
    </row>
    <row r="11" spans="1:13" ht="25.5" customHeight="1" x14ac:dyDescent="0.25">
      <c r="A11" s="37" t="s">
        <v>31</v>
      </c>
      <c r="B11" s="11">
        <f>'3'!B11</f>
        <v>7796</v>
      </c>
      <c r="C11" s="34">
        <f>'3'!C11/'3'!B11</f>
        <v>12426.403412006157</v>
      </c>
      <c r="D11" s="34">
        <f>'3'!D11/'3'!B11</f>
        <v>0</v>
      </c>
      <c r="E11" s="34">
        <f>'3'!E11/'3'!B11</f>
        <v>4504.0017957927139</v>
      </c>
      <c r="F11" s="34">
        <f>'3'!F11/'3'!B11</f>
        <v>0</v>
      </c>
      <c r="G11" s="41">
        <f t="shared" si="0"/>
        <v>16930.405207798871</v>
      </c>
      <c r="H11" s="39">
        <f>'3'!I11</f>
        <v>7448</v>
      </c>
      <c r="I11" s="34">
        <f>'3'!J11/'3'!$I$11</f>
        <v>14152.873791621912</v>
      </c>
      <c r="J11" s="34">
        <f>'3'!K11/'3'!$I$11</f>
        <v>9.3984962406015029</v>
      </c>
      <c r="K11" s="34">
        <f>'3'!L11/'3'!$I$11</f>
        <v>5121.5382653061224</v>
      </c>
      <c r="L11" s="34">
        <f>'3'!M11/'3'!$I$11</f>
        <v>0</v>
      </c>
      <c r="M11" s="41">
        <f t="shared" si="1"/>
        <v>19283.810553168638</v>
      </c>
    </row>
    <row r="12" spans="1:13" ht="25.5" customHeight="1" x14ac:dyDescent="0.25">
      <c r="A12" s="37" t="s">
        <v>26</v>
      </c>
      <c r="B12" s="11">
        <f>'3'!B12</f>
        <v>25331</v>
      </c>
      <c r="C12" s="34">
        <f>'3'!C12/'3'!B12</f>
        <v>4474.9628913189372</v>
      </c>
      <c r="D12" s="34">
        <f>'3'!D12/'3'!B12</f>
        <v>0.78954640558998856</v>
      </c>
      <c r="E12" s="34">
        <f>'3'!E12/'3'!B12</f>
        <v>1667.3966286368482</v>
      </c>
      <c r="F12" s="34">
        <f>'3'!F12/'3'!B12</f>
        <v>0</v>
      </c>
      <c r="G12" s="41">
        <f t="shared" si="0"/>
        <v>6143.1490663613749</v>
      </c>
      <c r="H12" s="39">
        <f>'3'!I12</f>
        <v>25262</v>
      </c>
      <c r="I12" s="34">
        <f>'3'!J12/'3'!$I$12</f>
        <v>5549.9302905549839</v>
      </c>
      <c r="J12" s="34">
        <f>'3'!K12/'3'!$I$12</f>
        <v>10.948380967461009</v>
      </c>
      <c r="K12" s="34">
        <f>'3'!L12/'3'!$I$12</f>
        <v>2049.6665743013223</v>
      </c>
      <c r="L12" s="34">
        <f>'3'!M12/'3'!$I$12</f>
        <v>0</v>
      </c>
      <c r="M12" s="41">
        <f t="shared" si="1"/>
        <v>7610.5452458237669</v>
      </c>
    </row>
    <row r="13" spans="1:13" ht="25.5" customHeight="1" thickBot="1" x14ac:dyDescent="0.3">
      <c r="A13" s="42" t="s">
        <v>15</v>
      </c>
      <c r="B13" s="199">
        <f>'3'!B13</f>
        <v>12318</v>
      </c>
      <c r="C13" s="43">
        <f>'3'!C13/'3'!B13</f>
        <v>2985.6996265627536</v>
      </c>
      <c r="D13" s="43">
        <f>'3'!D13/'3'!B13</f>
        <v>724.23388537100175</v>
      </c>
      <c r="E13" s="43">
        <f>'3'!E13/'3'!B13</f>
        <v>1363.9524273421009</v>
      </c>
      <c r="F13" s="43">
        <f>'3'!F13/'3'!B13</f>
        <v>683.85825621042375</v>
      </c>
      <c r="G13" s="205">
        <f>SUM(C13:F13)</f>
        <v>5757.7441954862798</v>
      </c>
      <c r="H13" s="137">
        <f>'3'!I13</f>
        <v>11983</v>
      </c>
      <c r="I13" s="43">
        <f>'3'!J13/'3'!$I$13</f>
        <v>3345.1098222481851</v>
      </c>
      <c r="J13" s="43">
        <f>'3'!K13/'3'!$I$13</f>
        <v>603.88900943002591</v>
      </c>
      <c r="K13" s="43">
        <f>'3'!L13/'3'!$I$13</f>
        <v>1451.8514562296587</v>
      </c>
      <c r="L13" s="43">
        <f>'3'!M13/'3'!$I$13</f>
        <v>27.278311775014604</v>
      </c>
      <c r="M13" s="205">
        <f>I13+J13+K13+L13</f>
        <v>5428.1285996828847</v>
      </c>
    </row>
  </sheetData>
  <mergeCells count="3">
    <mergeCell ref="A5:A6"/>
    <mergeCell ref="H5:M5"/>
    <mergeCell ref="B5:G5"/>
  </mergeCells>
  <pageMargins left="0.27559055118110237" right="0.70866141732283472" top="0.78740157480314965" bottom="0.78740157480314965" header="0.31496062992125984" footer="0.31496062992125984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5"/>
  <sheetViews>
    <sheetView workbookViewId="0">
      <selection activeCell="C8" sqref="C8"/>
    </sheetView>
  </sheetViews>
  <sheetFormatPr defaultColWidth="9.140625" defaultRowHeight="15" x14ac:dyDescent="0.25"/>
  <cols>
    <col min="1" max="1" width="20.5703125" style="1" customWidth="1"/>
    <col min="2" max="2" width="13.7109375" style="1" customWidth="1"/>
    <col min="3" max="3" width="14.28515625" style="1" customWidth="1"/>
    <col min="4" max="4" width="13.7109375" style="1" customWidth="1"/>
    <col min="5" max="5" width="14.28515625" style="1" customWidth="1"/>
    <col min="6" max="6" width="12.85546875" style="1" customWidth="1"/>
    <col min="7" max="7" width="14.42578125" style="1" customWidth="1"/>
    <col min="8" max="16384" width="9.140625" style="1"/>
  </cols>
  <sheetData>
    <row r="3" spans="1:17" x14ac:dyDescent="0.25">
      <c r="A3" s="3" t="s">
        <v>34</v>
      </c>
      <c r="B3" s="66"/>
      <c r="C3" s="66"/>
      <c r="D3" s="66"/>
      <c r="E3" s="66"/>
      <c r="F3" s="66"/>
      <c r="G3" s="66"/>
    </row>
    <row r="4" spans="1:17" ht="15.75" thickBot="1" x14ac:dyDescent="0.3"/>
    <row r="5" spans="1:17" ht="15.75" customHeight="1" thickBot="1" x14ac:dyDescent="0.3">
      <c r="A5" s="415" t="s">
        <v>2</v>
      </c>
      <c r="B5" s="417">
        <v>2019</v>
      </c>
      <c r="C5" s="418"/>
      <c r="D5" s="417">
        <v>2020</v>
      </c>
      <c r="E5" s="418"/>
      <c r="F5" s="419" t="s">
        <v>100</v>
      </c>
      <c r="G5" s="420"/>
      <c r="J5" s="67"/>
      <c r="K5" s="67"/>
      <c r="L5" s="67"/>
      <c r="M5" s="67"/>
      <c r="N5" s="67"/>
      <c r="O5" s="67"/>
    </row>
    <row r="6" spans="1:17" ht="34.5" thickBot="1" x14ac:dyDescent="0.3">
      <c r="A6" s="416"/>
      <c r="B6" s="219" t="s">
        <v>95</v>
      </c>
      <c r="C6" s="8" t="s">
        <v>32</v>
      </c>
      <c r="D6" s="219" t="s">
        <v>98</v>
      </c>
      <c r="E6" s="220" t="s">
        <v>32</v>
      </c>
      <c r="F6" s="69" t="s">
        <v>20</v>
      </c>
      <c r="G6" s="70" t="s">
        <v>32</v>
      </c>
      <c r="J6" s="2"/>
      <c r="K6" s="2"/>
      <c r="L6" s="2"/>
      <c r="M6" s="67"/>
      <c r="N6" s="67"/>
      <c r="O6" s="67"/>
    </row>
    <row r="7" spans="1:17" ht="15.75" thickTop="1" x14ac:dyDescent="0.25">
      <c r="A7" s="33" t="s">
        <v>24</v>
      </c>
      <c r="B7" s="191">
        <v>207</v>
      </c>
      <c r="C7" s="193">
        <v>8819559</v>
      </c>
      <c r="D7" s="191">
        <v>187</v>
      </c>
      <c r="E7" s="193">
        <v>12341373</v>
      </c>
      <c r="F7" s="72">
        <f t="shared" ref="F7:G12" si="0">D7/B7%</f>
        <v>90.338164251207743</v>
      </c>
      <c r="G7" s="73">
        <f t="shared" si="0"/>
        <v>139.93186053860518</v>
      </c>
      <c r="I7" s="67"/>
      <c r="J7" s="105"/>
      <c r="K7" s="105"/>
      <c r="L7" s="67"/>
      <c r="M7" s="67"/>
      <c r="N7" s="67"/>
      <c r="O7" s="67"/>
      <c r="Q7" s="67"/>
    </row>
    <row r="8" spans="1:17" x14ac:dyDescent="0.25">
      <c r="A8" s="37" t="s">
        <v>33</v>
      </c>
      <c r="B8" s="191">
        <v>457</v>
      </c>
      <c r="C8" s="71">
        <v>41853371</v>
      </c>
      <c r="D8" s="191">
        <v>485</v>
      </c>
      <c r="E8" s="71">
        <v>48239803</v>
      </c>
      <c r="F8" s="72">
        <f t="shared" si="0"/>
        <v>106.1269146608315</v>
      </c>
      <c r="G8" s="73">
        <f t="shared" si="0"/>
        <v>115.25906240622768</v>
      </c>
      <c r="I8" s="67"/>
      <c r="J8" s="105"/>
      <c r="K8" s="105"/>
      <c r="L8" s="67"/>
      <c r="M8" s="67"/>
      <c r="N8" s="67"/>
      <c r="O8" s="67"/>
    </row>
    <row r="9" spans="1:17" x14ac:dyDescent="0.25">
      <c r="A9" s="37" t="s">
        <v>9</v>
      </c>
      <c r="B9" s="191">
        <v>844</v>
      </c>
      <c r="C9" s="71">
        <v>55973102</v>
      </c>
      <c r="D9" s="191">
        <v>911</v>
      </c>
      <c r="E9" s="71">
        <v>66125668</v>
      </c>
      <c r="F9" s="72">
        <f t="shared" si="0"/>
        <v>107.93838862559242</v>
      </c>
      <c r="G9" s="73">
        <f t="shared" si="0"/>
        <v>118.13829435431325</v>
      </c>
      <c r="I9" s="67"/>
      <c r="J9" s="105"/>
      <c r="K9" s="105"/>
      <c r="L9" s="67"/>
      <c r="M9" s="67"/>
      <c r="N9" s="67"/>
      <c r="O9" s="67"/>
    </row>
    <row r="10" spans="1:17" x14ac:dyDescent="0.25">
      <c r="A10" s="37" t="s">
        <v>31</v>
      </c>
      <c r="B10" s="191">
        <v>262</v>
      </c>
      <c r="C10" s="71">
        <v>2933403</v>
      </c>
      <c r="D10" s="191">
        <v>295</v>
      </c>
      <c r="E10" s="71">
        <v>3097798</v>
      </c>
      <c r="F10" s="72">
        <f t="shared" si="0"/>
        <v>112.59541984732824</v>
      </c>
      <c r="G10" s="73">
        <f t="shared" si="0"/>
        <v>105.6042418992549</v>
      </c>
      <c r="I10" s="67"/>
      <c r="J10" s="105"/>
      <c r="K10" s="105"/>
      <c r="L10" s="67"/>
      <c r="M10" s="67"/>
      <c r="N10" s="67"/>
      <c r="O10" s="67"/>
    </row>
    <row r="11" spans="1:17" ht="15.75" thickBot="1" x14ac:dyDescent="0.25">
      <c r="A11" s="74" t="s">
        <v>26</v>
      </c>
      <c r="B11" s="192">
        <v>2253</v>
      </c>
      <c r="C11" s="194">
        <v>9947836</v>
      </c>
      <c r="D11" s="192">
        <v>2541</v>
      </c>
      <c r="E11" s="194">
        <v>11047222</v>
      </c>
      <c r="F11" s="172">
        <f t="shared" si="0"/>
        <v>112.78295605858854</v>
      </c>
      <c r="G11" s="173">
        <f t="shared" si="0"/>
        <v>111.05150909202766</v>
      </c>
      <c r="I11" s="67"/>
      <c r="J11" s="105"/>
      <c r="K11" s="105"/>
      <c r="L11" s="67"/>
      <c r="M11" s="105"/>
      <c r="N11" s="2"/>
      <c r="O11" s="2"/>
    </row>
    <row r="12" spans="1:17" ht="16.5" thickTop="1" thickBot="1" x14ac:dyDescent="0.3">
      <c r="A12" s="62" t="s">
        <v>27</v>
      </c>
      <c r="B12" s="75">
        <f>SUM(B7:B11)</f>
        <v>4023</v>
      </c>
      <c r="C12" s="76">
        <f>SUM(C7:C11)</f>
        <v>119527271</v>
      </c>
      <c r="D12" s="189">
        <f>SUM(D7:D11)</f>
        <v>4419</v>
      </c>
      <c r="E12" s="190">
        <f>SUM(E7:E11)</f>
        <v>140851864</v>
      </c>
      <c r="F12" s="221">
        <f t="shared" si="0"/>
        <v>109.8434004474273</v>
      </c>
      <c r="G12" s="195">
        <f t="shared" si="0"/>
        <v>117.84077626937538</v>
      </c>
      <c r="I12" s="67"/>
      <c r="J12" s="105"/>
      <c r="K12" s="105"/>
      <c r="L12" s="67"/>
      <c r="M12" s="105"/>
      <c r="N12" s="2"/>
      <c r="O12" s="2"/>
    </row>
    <row r="13" spans="1:17" x14ac:dyDescent="0.25">
      <c r="I13" s="67"/>
      <c r="J13" s="105"/>
      <c r="K13" s="105"/>
      <c r="L13" s="67"/>
      <c r="M13" s="157"/>
      <c r="N13" s="2"/>
      <c r="O13" s="2"/>
    </row>
    <row r="14" spans="1:17" x14ac:dyDescent="0.25">
      <c r="I14" s="67"/>
      <c r="J14" s="105"/>
      <c r="K14" s="105"/>
      <c r="L14" s="67"/>
      <c r="M14" s="105"/>
      <c r="N14" s="2"/>
      <c r="O14" s="2"/>
    </row>
    <row r="15" spans="1:17" x14ac:dyDescent="0.25">
      <c r="I15" s="67"/>
      <c r="J15" s="105"/>
      <c r="K15" s="157"/>
      <c r="L15" s="105"/>
      <c r="M15" s="105"/>
      <c r="N15" s="2"/>
      <c r="O15" s="2"/>
    </row>
    <row r="16" spans="1:17" x14ac:dyDescent="0.25">
      <c r="I16" s="67"/>
      <c r="J16" s="105"/>
      <c r="K16" s="105"/>
      <c r="L16" s="105"/>
      <c r="M16" s="105"/>
      <c r="N16" s="2"/>
      <c r="O16" s="2"/>
    </row>
    <row r="17" spans="9:17" x14ac:dyDescent="0.25">
      <c r="I17" s="67"/>
      <c r="J17" s="105"/>
      <c r="K17" s="157"/>
      <c r="L17" s="105"/>
      <c r="M17" s="105"/>
      <c r="N17" s="2"/>
      <c r="O17" s="2"/>
    </row>
    <row r="18" spans="9:17" x14ac:dyDescent="0.25">
      <c r="I18" s="67"/>
      <c r="J18" s="105"/>
      <c r="K18" s="105"/>
      <c r="L18" s="105"/>
      <c r="M18" s="105"/>
      <c r="N18" s="2"/>
      <c r="O18" s="2"/>
    </row>
    <row r="19" spans="9:17" x14ac:dyDescent="0.25">
      <c r="I19" s="67"/>
      <c r="J19" s="105"/>
      <c r="K19" s="105"/>
      <c r="L19" s="105"/>
      <c r="M19" s="105"/>
      <c r="N19" s="2"/>
      <c r="O19" s="2"/>
      <c r="P19" s="2"/>
      <c r="Q19" s="2"/>
    </row>
    <row r="20" spans="9:17" x14ac:dyDescent="0.25">
      <c r="I20" s="67"/>
      <c r="J20" s="67"/>
      <c r="K20" s="67"/>
      <c r="L20" s="67"/>
      <c r="M20" s="67"/>
    </row>
    <row r="21" spans="9:17" x14ac:dyDescent="0.25">
      <c r="I21" s="153"/>
      <c r="J21" s="67"/>
      <c r="K21" s="67"/>
      <c r="L21" s="67"/>
      <c r="M21" s="67"/>
    </row>
    <row r="22" spans="9:17" x14ac:dyDescent="0.25">
      <c r="I22" s="67"/>
      <c r="J22" s="67"/>
      <c r="K22" s="67"/>
      <c r="L22" s="67"/>
      <c r="M22" s="67"/>
    </row>
    <row r="23" spans="9:17" x14ac:dyDescent="0.25">
      <c r="I23" s="153"/>
      <c r="J23" s="67"/>
      <c r="K23" s="67"/>
      <c r="L23" s="67"/>
      <c r="M23" s="67"/>
    </row>
    <row r="24" spans="9:17" x14ac:dyDescent="0.25">
      <c r="J24" s="67"/>
    </row>
    <row r="25" spans="9:17" x14ac:dyDescent="0.25">
      <c r="I25" s="67"/>
      <c r="J25" s="67"/>
    </row>
  </sheetData>
  <mergeCells count="4">
    <mergeCell ref="A5:A6"/>
    <mergeCell ref="B5:C5"/>
    <mergeCell ref="F5:G5"/>
    <mergeCell ref="D5:E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workbookViewId="0">
      <selection activeCell="K7" sqref="K7"/>
    </sheetView>
  </sheetViews>
  <sheetFormatPr defaultColWidth="9.140625" defaultRowHeight="15" x14ac:dyDescent="0.25"/>
  <cols>
    <col min="1" max="1" width="22.28515625" style="1" customWidth="1"/>
    <col min="2" max="2" width="12.42578125" style="1" customWidth="1"/>
    <col min="3" max="3" width="14" style="1" customWidth="1"/>
    <col min="4" max="4" width="12.42578125" style="1" customWidth="1"/>
    <col min="5" max="5" width="14" style="1" customWidth="1"/>
    <col min="6" max="6" width="12.140625" style="1" customWidth="1"/>
    <col min="7" max="7" width="14.42578125" style="1" customWidth="1"/>
    <col min="8" max="16384" width="9.140625" style="1"/>
  </cols>
  <sheetData>
    <row r="3" spans="1:7" x14ac:dyDescent="0.25">
      <c r="A3" s="3" t="s">
        <v>35</v>
      </c>
      <c r="B3" s="66"/>
      <c r="C3" s="66"/>
      <c r="D3" s="66"/>
      <c r="E3" s="66"/>
      <c r="F3" s="66"/>
      <c r="G3" s="66"/>
    </row>
    <row r="4" spans="1:7" ht="15.75" thickBot="1" x14ac:dyDescent="0.3"/>
    <row r="5" spans="1:7" ht="15.75" customHeight="1" thickBot="1" x14ac:dyDescent="0.3">
      <c r="A5" s="415" t="s">
        <v>2</v>
      </c>
      <c r="B5" s="421">
        <v>2019</v>
      </c>
      <c r="C5" s="422"/>
      <c r="D5" s="421">
        <v>2020</v>
      </c>
      <c r="E5" s="422"/>
      <c r="F5" s="419" t="s">
        <v>100</v>
      </c>
      <c r="G5" s="420"/>
    </row>
    <row r="6" spans="1:7" ht="34.5" thickBot="1" x14ac:dyDescent="0.3">
      <c r="A6" s="416"/>
      <c r="B6" s="68" t="s">
        <v>95</v>
      </c>
      <c r="C6" s="70" t="s">
        <v>32</v>
      </c>
      <c r="D6" s="68" t="s">
        <v>98</v>
      </c>
      <c r="E6" s="70" t="s">
        <v>32</v>
      </c>
      <c r="F6" s="69" t="s">
        <v>20</v>
      </c>
      <c r="G6" s="70" t="s">
        <v>32</v>
      </c>
    </row>
    <row r="7" spans="1:7" ht="15.75" thickTop="1" x14ac:dyDescent="0.25">
      <c r="A7" s="33" t="s">
        <v>24</v>
      </c>
      <c r="B7" s="39">
        <f>'5'!B7</f>
        <v>207</v>
      </c>
      <c r="C7" s="71">
        <f>'5'!C7/'6'!B7</f>
        <v>42606.565217391304</v>
      </c>
      <c r="D7" s="39">
        <f>'5'!D7</f>
        <v>187</v>
      </c>
      <c r="E7" s="71">
        <f>'5'!E7/'6'!D7</f>
        <v>65996.647058823524</v>
      </c>
      <c r="F7" s="72">
        <f>D7/B7%</f>
        <v>90.338164251207743</v>
      </c>
      <c r="G7" s="73">
        <f>E7/C7%</f>
        <v>154.89783492776078</v>
      </c>
    </row>
    <row r="8" spans="1:7" x14ac:dyDescent="0.25">
      <c r="A8" s="37" t="s">
        <v>33</v>
      </c>
      <c r="B8" s="39">
        <f>'5'!B8</f>
        <v>457</v>
      </c>
      <c r="C8" s="38">
        <f>'5'!C8/'6'!B8</f>
        <v>91582.868708971553</v>
      </c>
      <c r="D8" s="39">
        <f>'5'!D8</f>
        <v>485</v>
      </c>
      <c r="E8" s="71">
        <f>'5'!E8/'6'!D8</f>
        <v>99463.511340206183</v>
      </c>
      <c r="F8" s="72">
        <f t="shared" ref="F8:F12" si="0">D8/B8%</f>
        <v>106.1269146608315</v>
      </c>
      <c r="G8" s="73">
        <f t="shared" ref="G8:G12" si="1">E8/C8%</f>
        <v>108.60493096834237</v>
      </c>
    </row>
    <row r="9" spans="1:7" x14ac:dyDescent="0.25">
      <c r="A9" s="37" t="s">
        <v>9</v>
      </c>
      <c r="B9" s="39">
        <f>'5'!B9</f>
        <v>844</v>
      </c>
      <c r="C9" s="38">
        <f>'5'!C9/'6'!B9</f>
        <v>66318.841232227482</v>
      </c>
      <c r="D9" s="39">
        <f>'5'!D9</f>
        <v>911</v>
      </c>
      <c r="E9" s="71">
        <f>'5'!E9/'6'!D9</f>
        <v>72585.80461031833</v>
      </c>
      <c r="F9" s="72">
        <f t="shared" si="0"/>
        <v>107.93838862559242</v>
      </c>
      <c r="G9" s="73">
        <f t="shared" si="1"/>
        <v>109.44974800772819</v>
      </c>
    </row>
    <row r="10" spans="1:7" x14ac:dyDescent="0.25">
      <c r="A10" s="77" t="s">
        <v>31</v>
      </c>
      <c r="B10" s="39">
        <f>'5'!B10</f>
        <v>262</v>
      </c>
      <c r="C10" s="38">
        <f>'5'!C10/'6'!B10</f>
        <v>11196.194656488549</v>
      </c>
      <c r="D10" s="39">
        <f>'5'!D10</f>
        <v>295</v>
      </c>
      <c r="E10" s="71">
        <f>'5'!E10/'6'!D10</f>
        <v>10501.010169491525</v>
      </c>
      <c r="F10" s="72">
        <f t="shared" si="0"/>
        <v>112.59541984732824</v>
      </c>
      <c r="G10" s="73">
        <f t="shared" si="1"/>
        <v>93.790886025778917</v>
      </c>
    </row>
    <row r="11" spans="1:7" ht="15.75" thickBot="1" x14ac:dyDescent="0.3">
      <c r="A11" s="77" t="s">
        <v>26</v>
      </c>
      <c r="B11" s="167">
        <f>'5'!B11</f>
        <v>2253</v>
      </c>
      <c r="C11" s="166">
        <f>'5'!C11/'6'!B11</f>
        <v>4415.3732800710168</v>
      </c>
      <c r="D11" s="167">
        <f>'5'!D11</f>
        <v>2541</v>
      </c>
      <c r="E11" s="171">
        <f>'5'!E11/'6'!D11</f>
        <v>4347.5883510428966</v>
      </c>
      <c r="F11" s="172">
        <f t="shared" si="0"/>
        <v>112.78295605858854</v>
      </c>
      <c r="G11" s="173">
        <f t="shared" si="1"/>
        <v>98.464797317724631</v>
      </c>
    </row>
    <row r="12" spans="1:7" ht="15.75" thickBot="1" x14ac:dyDescent="0.3">
      <c r="A12" s="168" t="s">
        <v>27</v>
      </c>
      <c r="B12" s="222">
        <f>SUM(B7:B11)</f>
        <v>4023</v>
      </c>
      <c r="C12" s="223">
        <f>'5'!C12/'6'!B12</f>
        <v>29710.979617201094</v>
      </c>
      <c r="D12" s="224">
        <f>SUM(D7:D11)</f>
        <v>4419</v>
      </c>
      <c r="E12" s="225">
        <f>'5'!E12/'6'!D12</f>
        <v>31874.148902466623</v>
      </c>
      <c r="F12" s="226">
        <f t="shared" si="0"/>
        <v>109.8434004474273</v>
      </c>
      <c r="G12" s="227">
        <f t="shared" si="1"/>
        <v>107.28070670552097</v>
      </c>
    </row>
    <row r="18" spans="1:1" x14ac:dyDescent="0.25">
      <c r="A18" s="1" t="s">
        <v>1</v>
      </c>
    </row>
  </sheetData>
  <mergeCells count="4">
    <mergeCell ref="A5:A6"/>
    <mergeCell ref="D5:E5"/>
    <mergeCell ref="B5:C5"/>
    <mergeCell ref="F5:G5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workbookViewId="0">
      <selection activeCell="S17" sqref="S17"/>
    </sheetView>
  </sheetViews>
  <sheetFormatPr defaultColWidth="9.140625" defaultRowHeight="15" x14ac:dyDescent="0.25"/>
  <cols>
    <col min="1" max="1" width="8.5703125" style="1" customWidth="1"/>
    <col min="2" max="2" width="10.28515625" style="1" customWidth="1"/>
    <col min="3" max="3" width="12.28515625" style="80" customWidth="1"/>
    <col min="4" max="4" width="9.42578125" style="1" bestFit="1" customWidth="1"/>
    <col min="5" max="5" width="12.140625" style="1" customWidth="1"/>
    <col min="6" max="6" width="10.85546875" style="1" customWidth="1"/>
    <col min="7" max="7" width="8.7109375" style="1" customWidth="1"/>
    <col min="8" max="8" width="9.28515625" style="1" customWidth="1"/>
    <col min="9" max="9" width="9.42578125" style="1" customWidth="1"/>
    <col min="10" max="10" width="8.5703125" style="1" customWidth="1"/>
    <col min="11" max="11" width="9.7109375" style="1" customWidth="1"/>
    <col min="12" max="12" width="9.5703125" style="80" customWidth="1"/>
    <col min="13" max="13" width="8.28515625" style="1" customWidth="1"/>
    <col min="14" max="14" width="8.85546875" style="1" customWidth="1"/>
    <col min="15" max="15" width="9.85546875" style="1" customWidth="1"/>
    <col min="16" max="17" width="10.85546875" style="1" bestFit="1" customWidth="1"/>
    <col min="18" max="18" width="12.28515625" style="1" bestFit="1" customWidth="1"/>
    <col min="19" max="19" width="10.85546875" style="1" bestFit="1" customWidth="1"/>
    <col min="20" max="16384" width="9.140625" style="1"/>
  </cols>
  <sheetData>
    <row r="1" spans="1:19" x14ac:dyDescent="0.25">
      <c r="A1" s="78"/>
    </row>
    <row r="2" spans="1:19" x14ac:dyDescent="0.25">
      <c r="A2" s="1" t="s">
        <v>1</v>
      </c>
      <c r="G2" s="80"/>
      <c r="H2" s="67"/>
      <c r="I2" s="67"/>
      <c r="J2" s="67"/>
      <c r="K2" s="67"/>
    </row>
    <row r="3" spans="1:19" x14ac:dyDescent="0.25">
      <c r="G3" s="80"/>
      <c r="H3" s="67"/>
      <c r="I3" s="67"/>
      <c r="J3" s="67"/>
      <c r="K3" s="67"/>
    </row>
    <row r="4" spans="1:19" x14ac:dyDescent="0.25">
      <c r="A4" s="3" t="s">
        <v>108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145"/>
      <c r="N4" s="145"/>
      <c r="O4" s="145"/>
    </row>
    <row r="5" spans="1:19" ht="15.75" thickBot="1" x14ac:dyDescent="0.3"/>
    <row r="6" spans="1:19" ht="15.75" thickBot="1" x14ac:dyDescent="0.3">
      <c r="A6" s="423" t="s">
        <v>101</v>
      </c>
      <c r="B6" s="424"/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5"/>
    </row>
    <row r="7" spans="1:19" ht="15" customHeight="1" x14ac:dyDescent="0.25">
      <c r="A7" s="426" t="s">
        <v>36</v>
      </c>
      <c r="B7" s="428" t="s">
        <v>37</v>
      </c>
      <c r="C7" s="430" t="s">
        <v>38</v>
      </c>
      <c r="D7" s="432" t="s">
        <v>39</v>
      </c>
      <c r="E7" s="434" t="s">
        <v>40</v>
      </c>
      <c r="F7" s="435"/>
      <c r="G7" s="435"/>
      <c r="H7" s="435"/>
      <c r="I7" s="435"/>
      <c r="J7" s="435"/>
      <c r="K7" s="435"/>
      <c r="L7" s="435"/>
      <c r="M7" s="435"/>
      <c r="N7" s="436"/>
      <c r="O7" s="426" t="s">
        <v>41</v>
      </c>
    </row>
    <row r="8" spans="1:19" ht="75" customHeight="1" thickBot="1" x14ac:dyDescent="0.3">
      <c r="A8" s="427"/>
      <c r="B8" s="429"/>
      <c r="C8" s="431"/>
      <c r="D8" s="433"/>
      <c r="E8" s="143" t="s">
        <v>42</v>
      </c>
      <c r="F8" s="144" t="s">
        <v>43</v>
      </c>
      <c r="G8" s="144" t="s">
        <v>44</v>
      </c>
      <c r="H8" s="144" t="s">
        <v>45</v>
      </c>
      <c r="I8" s="144" t="s">
        <v>46</v>
      </c>
      <c r="J8" s="144" t="s">
        <v>47</v>
      </c>
      <c r="K8" s="144" t="s">
        <v>77</v>
      </c>
      <c r="L8" s="82" t="s">
        <v>48</v>
      </c>
      <c r="M8" s="144" t="s">
        <v>49</v>
      </c>
      <c r="N8" s="83" t="s">
        <v>50</v>
      </c>
      <c r="O8" s="427"/>
    </row>
    <row r="9" spans="1:19" ht="21.75" customHeight="1" thickTop="1" x14ac:dyDescent="0.25">
      <c r="A9" s="84" t="s">
        <v>24</v>
      </c>
      <c r="B9" s="228">
        <f>'9'!B8+'11'!B8</f>
        <v>1073.4488000000001</v>
      </c>
      <c r="C9" s="229">
        <f>'9'!C8+'11'!C8</f>
        <v>420406590</v>
      </c>
      <c r="D9" s="230">
        <f>C9/B9/12</f>
        <v>32636.752213985423</v>
      </c>
      <c r="E9" s="231">
        <f>'9'!E8+'11'!E8</f>
        <v>277477408</v>
      </c>
      <c r="F9" s="229">
        <f>'9'!F8+'11'!F8</f>
        <v>76536628</v>
      </c>
      <c r="G9" s="229">
        <f>'9'!G8+'11'!G8</f>
        <v>9144162</v>
      </c>
      <c r="H9" s="229">
        <f>'9'!H8+'11'!H8</f>
        <v>47311656</v>
      </c>
      <c r="I9" s="229">
        <f>'9'!I8+'11'!I8</f>
        <v>8624482</v>
      </c>
      <c r="J9" s="229">
        <f>'9'!J8+'11'!J8</f>
        <v>77614</v>
      </c>
      <c r="K9" s="229">
        <f>'9'!K8</f>
        <v>10170</v>
      </c>
      <c r="L9" s="229">
        <f>'9'!L8</f>
        <v>1079968</v>
      </c>
      <c r="M9" s="229">
        <f>'9'!M8+'11'!K8</f>
        <v>36108</v>
      </c>
      <c r="N9" s="229">
        <f>'9'!N8+'11'!L8</f>
        <v>108394</v>
      </c>
      <c r="O9" s="232">
        <f>458775+2697406</f>
        <v>3156181</v>
      </c>
      <c r="P9" s="67"/>
      <c r="Q9" s="67"/>
      <c r="R9" s="67"/>
    </row>
    <row r="10" spans="1:19" ht="21.75" customHeight="1" x14ac:dyDescent="0.25">
      <c r="A10" s="85" t="s">
        <v>80</v>
      </c>
      <c r="B10" s="228">
        <f>'9'!B9+'11'!B9</f>
        <v>2445.0164999999997</v>
      </c>
      <c r="C10" s="229">
        <f>'9'!C9+'11'!C9</f>
        <v>1165538479</v>
      </c>
      <c r="D10" s="230">
        <f t="shared" ref="D10:D15" si="0">C10/B10/12</f>
        <v>39724.969783775836</v>
      </c>
      <c r="E10" s="231">
        <f>'9'!E9+'11'!E9</f>
        <v>751684628</v>
      </c>
      <c r="F10" s="229">
        <f>'9'!F9+'11'!F9</f>
        <v>195400505</v>
      </c>
      <c r="G10" s="229">
        <f>'9'!G9+'11'!G9</f>
        <v>23636505</v>
      </c>
      <c r="H10" s="229">
        <f>'9'!H9+'11'!H9</f>
        <v>154586763</v>
      </c>
      <c r="I10" s="229">
        <f>'9'!I9+'11'!I9</f>
        <v>17948192</v>
      </c>
      <c r="J10" s="229">
        <f>'9'!J9+'11'!J9</f>
        <v>9784786</v>
      </c>
      <c r="K10" s="229">
        <f>'9'!K9</f>
        <v>1221245</v>
      </c>
      <c r="L10" s="229">
        <f>'9'!L9</f>
        <v>10752193</v>
      </c>
      <c r="M10" s="229">
        <f>'9'!M9+'11'!K9</f>
        <v>112537</v>
      </c>
      <c r="N10" s="233">
        <f>'9'!N9+'11'!L9</f>
        <v>411125</v>
      </c>
      <c r="O10" s="232">
        <f>13267049+7017409</f>
        <v>20284458</v>
      </c>
      <c r="P10" s="67"/>
      <c r="Q10" s="67"/>
      <c r="R10" s="67"/>
    </row>
    <row r="11" spans="1:19" ht="21.75" customHeight="1" x14ac:dyDescent="0.25">
      <c r="A11" s="93" t="s">
        <v>90</v>
      </c>
      <c r="B11" s="228">
        <f>'9'!B10+'11'!B10</f>
        <v>151.89170000000001</v>
      </c>
      <c r="C11" s="229">
        <f>'9'!C10+'11'!C10</f>
        <v>74696875</v>
      </c>
      <c r="D11" s="230">
        <f t="shared" si="0"/>
        <v>40981.433372154854</v>
      </c>
      <c r="E11" s="231">
        <f>'9'!E10+'11'!E10</f>
        <v>45887556</v>
      </c>
      <c r="F11" s="229">
        <f>'9'!F10+'11'!F10</f>
        <v>12494138</v>
      </c>
      <c r="G11" s="229">
        <f>'9'!G10+'11'!G10</f>
        <v>1972241</v>
      </c>
      <c r="H11" s="229">
        <f>'9'!H10+'11'!H10</f>
        <v>11079544</v>
      </c>
      <c r="I11" s="229">
        <f>'9'!I10+'11'!I10</f>
        <v>1276659</v>
      </c>
      <c r="J11" s="229">
        <f>'9'!J10+'11'!J10</f>
        <v>1794855</v>
      </c>
      <c r="K11" s="229">
        <f>'9'!K10</f>
        <v>17095</v>
      </c>
      <c r="L11" s="229">
        <f>'9'!L10</f>
        <v>171455</v>
      </c>
      <c r="M11" s="229">
        <f>'9'!M10+'11'!K10</f>
        <v>0</v>
      </c>
      <c r="N11" s="233">
        <f>'9'!N10+'11'!L10</f>
        <v>3332</v>
      </c>
      <c r="O11" s="232">
        <f>577725+601990</f>
        <v>1179715</v>
      </c>
      <c r="P11" s="67"/>
      <c r="Q11" s="67"/>
      <c r="R11" s="67"/>
    </row>
    <row r="12" spans="1:19" ht="21.75" customHeight="1" x14ac:dyDescent="0.25">
      <c r="A12" s="85" t="s">
        <v>25</v>
      </c>
      <c r="B12" s="228">
        <f>'9'!B11+'11'!B11</f>
        <v>250.26599999999999</v>
      </c>
      <c r="C12" s="229">
        <f>'9'!C11+'11'!C11</f>
        <v>103665661</v>
      </c>
      <c r="D12" s="230">
        <f t="shared" si="0"/>
        <v>34518.492657146133</v>
      </c>
      <c r="E12" s="231">
        <f>'9'!E11+'11'!E11</f>
        <v>72335502</v>
      </c>
      <c r="F12" s="229">
        <f>'9'!F11+'11'!F11</f>
        <v>19279073</v>
      </c>
      <c r="G12" s="229">
        <f>'9'!G11+'11'!G11</f>
        <v>1084252</v>
      </c>
      <c r="H12" s="229">
        <f>'9'!H11+'11'!H11</f>
        <v>9351770</v>
      </c>
      <c r="I12" s="229">
        <f>'9'!I11+'11'!I11</f>
        <v>1107014</v>
      </c>
      <c r="J12" s="229">
        <f>'9'!J11+'11'!J11</f>
        <v>82923</v>
      </c>
      <c r="K12" s="229">
        <f>'9'!K11</f>
        <v>18941</v>
      </c>
      <c r="L12" s="229">
        <f>'9'!L11</f>
        <v>178452</v>
      </c>
      <c r="M12" s="229">
        <f>'9'!M11+'11'!K11</f>
        <v>4614</v>
      </c>
      <c r="N12" s="233">
        <f>'9'!N11+'11'!L11</f>
        <v>223120</v>
      </c>
      <c r="O12" s="232">
        <f>635329+282201</f>
        <v>917530</v>
      </c>
      <c r="P12" s="67"/>
      <c r="Q12" s="67"/>
      <c r="R12" s="67"/>
    </row>
    <row r="13" spans="1:19" ht="21.75" customHeight="1" x14ac:dyDescent="0.25">
      <c r="A13" s="86" t="s">
        <v>26</v>
      </c>
      <c r="B13" s="228">
        <f>'9'!B12+'11'!B12</f>
        <v>500.47059999999999</v>
      </c>
      <c r="C13" s="229">
        <f>'9'!C12+'11'!C12</f>
        <v>140734710</v>
      </c>
      <c r="D13" s="230">
        <f t="shared" si="0"/>
        <v>23433.729174101336</v>
      </c>
      <c r="E13" s="231">
        <f>'9'!E12+'11'!E12</f>
        <v>98620975</v>
      </c>
      <c r="F13" s="229">
        <f>'9'!F12+'11'!F12</f>
        <v>19312852</v>
      </c>
      <c r="G13" s="229">
        <f>'11'!G12</f>
        <v>2522011</v>
      </c>
      <c r="H13" s="229">
        <f>'11'!H12</f>
        <v>17735971</v>
      </c>
      <c r="I13" s="229">
        <f>'11'!I12</f>
        <v>2504834</v>
      </c>
      <c r="J13" s="229">
        <f>'11'!J12</f>
        <v>0</v>
      </c>
      <c r="K13" s="229">
        <v>0</v>
      </c>
      <c r="L13" s="229">
        <v>0</v>
      </c>
      <c r="M13" s="229">
        <f>'11'!K12</f>
        <v>27783</v>
      </c>
      <c r="N13" s="233">
        <f>'11'!L12</f>
        <v>10284</v>
      </c>
      <c r="O13" s="232">
        <f>1840+923906</f>
        <v>925746</v>
      </c>
      <c r="P13" s="67"/>
      <c r="Q13" s="67"/>
      <c r="R13" s="67"/>
    </row>
    <row r="14" spans="1:19" ht="21.75" customHeight="1" thickBot="1" x14ac:dyDescent="0.3">
      <c r="A14" s="87" t="s">
        <v>51</v>
      </c>
      <c r="B14" s="234">
        <f>'9'!B13+'11'!B13</f>
        <v>430.25360000000001</v>
      </c>
      <c r="C14" s="235">
        <f>'9'!C13+'11'!C13</f>
        <v>213805704</v>
      </c>
      <c r="D14" s="236">
        <f t="shared" si="0"/>
        <v>41410.791217086851</v>
      </c>
      <c r="E14" s="237">
        <f>'9'!E13+'11'!E13</f>
        <v>138414600</v>
      </c>
      <c r="F14" s="235">
        <f>'9'!F13+'11'!F13</f>
        <v>36618859</v>
      </c>
      <c r="G14" s="235">
        <f>'9'!G13+'11'!G13</f>
        <v>5787282</v>
      </c>
      <c r="H14" s="235">
        <f>'9'!H13+'11'!H13</f>
        <v>25735507</v>
      </c>
      <c r="I14" s="235">
        <f>'9'!I13+'11'!I13</f>
        <v>4826145</v>
      </c>
      <c r="J14" s="235">
        <f>'9'!J13+'11'!J13</f>
        <v>42675</v>
      </c>
      <c r="K14" s="235">
        <f>'9'!K13</f>
        <v>0</v>
      </c>
      <c r="L14" s="235">
        <f>'9'!L13</f>
        <v>2046449</v>
      </c>
      <c r="M14" s="235">
        <f>'9'!M13+'11'!K13</f>
        <v>136824</v>
      </c>
      <c r="N14" s="238">
        <f>'9'!N13+'11'!L13</f>
        <v>197363</v>
      </c>
      <c r="O14" s="239">
        <f>6744728+2333620</f>
        <v>9078348</v>
      </c>
      <c r="P14" s="67"/>
      <c r="Q14" s="67"/>
      <c r="R14" s="67"/>
      <c r="S14" s="67"/>
    </row>
    <row r="15" spans="1:19" ht="21.75" customHeight="1" thickTop="1" thickBot="1" x14ac:dyDescent="0.3">
      <c r="A15" s="88" t="s">
        <v>52</v>
      </c>
      <c r="B15" s="240">
        <f>SUM(B9:B14)</f>
        <v>4851.3472000000002</v>
      </c>
      <c r="C15" s="241">
        <f>SUM(C9:C14)</f>
        <v>2118848019</v>
      </c>
      <c r="D15" s="242">
        <f t="shared" si="0"/>
        <v>36396.213457985439</v>
      </c>
      <c r="E15" s="243">
        <f>SUM(E9:E14)</f>
        <v>1384420669</v>
      </c>
      <c r="F15" s="244">
        <f t="shared" ref="F15:O15" si="1">SUM(F9:F14)</f>
        <v>359642055</v>
      </c>
      <c r="G15" s="244">
        <f t="shared" si="1"/>
        <v>44146453</v>
      </c>
      <c r="H15" s="244">
        <f t="shared" si="1"/>
        <v>265801211</v>
      </c>
      <c r="I15" s="244">
        <f t="shared" si="1"/>
        <v>36287326</v>
      </c>
      <c r="J15" s="244">
        <f t="shared" si="1"/>
        <v>11782853</v>
      </c>
      <c r="K15" s="244">
        <f t="shared" si="1"/>
        <v>1267451</v>
      </c>
      <c r="L15" s="244">
        <f t="shared" si="1"/>
        <v>14228517</v>
      </c>
      <c r="M15" s="244">
        <f t="shared" si="1"/>
        <v>317866</v>
      </c>
      <c r="N15" s="29">
        <f>SUM(N9:N14)</f>
        <v>953618</v>
      </c>
      <c r="O15" s="245">
        <f t="shared" si="1"/>
        <v>35541978</v>
      </c>
      <c r="Q15" s="67"/>
      <c r="R15" s="67"/>
    </row>
    <row r="16" spans="1:19" ht="21.75" customHeight="1" x14ac:dyDescent="0.25">
      <c r="C16" s="67"/>
      <c r="F16" s="67"/>
      <c r="G16" s="67"/>
      <c r="H16" s="67"/>
      <c r="I16" s="67"/>
      <c r="J16" s="80"/>
      <c r="L16" s="1"/>
      <c r="M16" s="67"/>
      <c r="O16" s="67"/>
    </row>
    <row r="17" spans="2:12" x14ac:dyDescent="0.25">
      <c r="L17" s="1"/>
    </row>
    <row r="18" spans="2:12" x14ac:dyDescent="0.25">
      <c r="B18" s="80"/>
      <c r="J18" s="80"/>
      <c r="L18" s="1"/>
    </row>
    <row r="19" spans="2:12" x14ac:dyDescent="0.25">
      <c r="B19" s="80"/>
      <c r="J19" s="80"/>
      <c r="L19" s="1"/>
    </row>
    <row r="20" spans="2:12" x14ac:dyDescent="0.25">
      <c r="B20" s="80"/>
      <c r="J20" s="80"/>
      <c r="L20" s="1"/>
    </row>
    <row r="21" spans="2:12" x14ac:dyDescent="0.25">
      <c r="B21" s="80"/>
      <c r="C21" s="67"/>
      <c r="D21" s="80"/>
      <c r="E21" s="80"/>
    </row>
    <row r="22" spans="2:12" x14ac:dyDescent="0.25">
      <c r="B22" s="163"/>
      <c r="C22" s="164"/>
      <c r="D22" s="163"/>
      <c r="E22" s="163"/>
    </row>
    <row r="23" spans="2:12" x14ac:dyDescent="0.25">
      <c r="B23" s="163"/>
      <c r="C23" s="164"/>
      <c r="D23" s="163"/>
      <c r="E23" s="163"/>
    </row>
  </sheetData>
  <mergeCells count="7">
    <mergeCell ref="A6:O6"/>
    <mergeCell ref="A7:A8"/>
    <mergeCell ref="B7:B8"/>
    <mergeCell ref="C7:C8"/>
    <mergeCell ref="D7:D8"/>
    <mergeCell ref="E7:N7"/>
    <mergeCell ref="O7:O8"/>
  </mergeCells>
  <pageMargins left="0.19685039370078741" right="0.19685039370078741" top="0.78740157480314965" bottom="0.78740157480314965" header="0.31496062992125984" footer="0.31496062992125984"/>
  <pageSetup paperSize="9" scale="99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workbookViewId="0">
      <selection activeCell="S17" sqref="S17"/>
    </sheetView>
  </sheetViews>
  <sheetFormatPr defaultRowHeight="15" x14ac:dyDescent="0.25"/>
  <cols>
    <col min="1" max="1" width="10" customWidth="1"/>
    <col min="2" max="2" width="10.140625" customWidth="1"/>
    <col min="3" max="4" width="9.5703125" customWidth="1"/>
    <col min="5" max="5" width="10.28515625" customWidth="1"/>
    <col min="6" max="6" width="9.85546875" customWidth="1"/>
    <col min="7" max="7" width="9.5703125" customWidth="1"/>
    <col min="8" max="8" width="9" customWidth="1"/>
    <col min="9" max="9" width="8.42578125" customWidth="1"/>
    <col min="10" max="10" width="9" customWidth="1"/>
    <col min="11" max="11" width="10.140625" customWidth="1"/>
    <col min="12" max="12" width="9.42578125" customWidth="1"/>
    <col min="13" max="13" width="7.85546875" customWidth="1"/>
    <col min="14" max="14" width="8" customWidth="1"/>
    <col min="15" max="15" width="12.28515625" customWidth="1"/>
    <col min="16" max="17" width="10.85546875" bestFit="1" customWidth="1"/>
    <col min="18" max="18" width="9.8554687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67"/>
      <c r="I1" s="67"/>
      <c r="J1" s="67"/>
      <c r="K1" s="67"/>
      <c r="L1" s="1"/>
      <c r="M1" s="1"/>
      <c r="N1" s="1"/>
      <c r="O1" s="1"/>
    </row>
    <row r="2" spans="1:18" x14ac:dyDescent="0.25">
      <c r="A2" s="1" t="s">
        <v>1</v>
      </c>
      <c r="B2" s="1"/>
      <c r="C2" s="1"/>
      <c r="D2" s="1"/>
      <c r="E2" s="1"/>
      <c r="F2" s="1"/>
      <c r="G2" s="1"/>
      <c r="H2" s="67"/>
      <c r="I2" s="67"/>
      <c r="J2" s="67"/>
      <c r="K2" s="67"/>
      <c r="L2" s="1"/>
      <c r="M2" s="1"/>
      <c r="N2" s="1"/>
      <c r="O2" s="1"/>
    </row>
    <row r="3" spans="1:18" x14ac:dyDescent="0.25">
      <c r="A3" s="3" t="s">
        <v>107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"/>
      <c r="N3" s="6"/>
      <c r="O3" s="6"/>
    </row>
    <row r="4" spans="1:18" ht="15.75" thickBot="1" x14ac:dyDescent="0.3">
      <c r="A4" s="1"/>
      <c r="B4" s="1"/>
      <c r="C4" s="1"/>
      <c r="D4" s="1"/>
      <c r="E4" s="89"/>
      <c r="F4" s="89"/>
      <c r="G4" s="89"/>
      <c r="H4" s="89"/>
      <c r="I4" s="89"/>
      <c r="J4" s="89"/>
      <c r="K4" s="89"/>
      <c r="L4" s="89"/>
      <c r="M4" s="89"/>
      <c r="N4" s="89"/>
      <c r="O4" s="1"/>
    </row>
    <row r="5" spans="1:18" ht="15.75" thickBot="1" x14ac:dyDescent="0.3">
      <c r="A5" s="423" t="s">
        <v>102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5"/>
    </row>
    <row r="6" spans="1:18" ht="15" customHeight="1" x14ac:dyDescent="0.25">
      <c r="A6" s="437" t="s">
        <v>36</v>
      </c>
      <c r="B6" s="439" t="s">
        <v>37</v>
      </c>
      <c r="C6" s="430" t="s">
        <v>53</v>
      </c>
      <c r="D6" s="432" t="s">
        <v>39</v>
      </c>
      <c r="E6" s="441" t="s">
        <v>40</v>
      </c>
      <c r="F6" s="442"/>
      <c r="G6" s="442"/>
      <c r="H6" s="442"/>
      <c r="I6" s="442"/>
      <c r="J6" s="442"/>
      <c r="K6" s="442"/>
      <c r="L6" s="442"/>
      <c r="M6" s="442"/>
      <c r="N6" s="443"/>
      <c r="O6" s="426" t="s">
        <v>54</v>
      </c>
    </row>
    <row r="7" spans="1:18" ht="63.75" customHeight="1" thickBot="1" x14ac:dyDescent="0.3">
      <c r="A7" s="438"/>
      <c r="B7" s="440"/>
      <c r="C7" s="431"/>
      <c r="D7" s="433"/>
      <c r="E7" s="135" t="s">
        <v>42</v>
      </c>
      <c r="F7" s="136" t="s">
        <v>43</v>
      </c>
      <c r="G7" s="136" t="s">
        <v>44</v>
      </c>
      <c r="H7" s="136" t="s">
        <v>45</v>
      </c>
      <c r="I7" s="136" t="s">
        <v>46</v>
      </c>
      <c r="J7" s="136" t="s">
        <v>47</v>
      </c>
      <c r="K7" s="141" t="s">
        <v>76</v>
      </c>
      <c r="L7" s="136" t="s">
        <v>48</v>
      </c>
      <c r="M7" s="136" t="s">
        <v>49</v>
      </c>
      <c r="N7" s="83" t="s">
        <v>50</v>
      </c>
      <c r="O7" s="427"/>
    </row>
    <row r="8" spans="1:18" ht="27.75" customHeight="1" thickTop="1" x14ac:dyDescent="0.25">
      <c r="A8" s="84" t="s">
        <v>79</v>
      </c>
      <c r="B8" s="246">
        <f>'10'!B8+'12'!B8</f>
        <v>1095.0908999999999</v>
      </c>
      <c r="C8" s="247">
        <f>'10'!C8+'12'!C8</f>
        <v>561861241</v>
      </c>
      <c r="D8" s="248">
        <f>C8/B8/12</f>
        <v>42756.058043522535</v>
      </c>
      <c r="E8" s="249">
        <f>'10'!E8+'12'!E8</f>
        <v>354595085</v>
      </c>
      <c r="F8" s="247">
        <f>'10'!F8+'12'!F8</f>
        <v>96541502</v>
      </c>
      <c r="G8" s="247">
        <f>'10'!G8+'12'!G8</f>
        <v>21076926</v>
      </c>
      <c r="H8" s="247">
        <f>'10'!H8+'12'!H8</f>
        <v>67248722</v>
      </c>
      <c r="I8" s="247">
        <f>'10'!I8+'12'!I8</f>
        <v>8657789</v>
      </c>
      <c r="J8" s="247">
        <f>'10'!J8+'12'!J8</f>
        <v>4107469</v>
      </c>
      <c r="K8" s="247">
        <f>'10'!K8</f>
        <v>697796</v>
      </c>
      <c r="L8" s="247">
        <f>'10'!L8</f>
        <v>8505911</v>
      </c>
      <c r="M8" s="247">
        <f>'12'!K8+'10'!M8</f>
        <v>219064</v>
      </c>
      <c r="N8" s="250">
        <f>'10'!N8+'12'!L8</f>
        <v>210977</v>
      </c>
      <c r="O8" s="251">
        <f>5943759+4416053</f>
        <v>10359812</v>
      </c>
      <c r="P8" s="101"/>
      <c r="Q8" s="101"/>
      <c r="R8" s="101"/>
    </row>
    <row r="9" spans="1:18" ht="27.75" customHeight="1" x14ac:dyDescent="0.25">
      <c r="A9" s="85" t="s">
        <v>10</v>
      </c>
      <c r="B9" s="246">
        <f>'10'!B9+'12'!B9</f>
        <v>23.875399999999999</v>
      </c>
      <c r="C9" s="247">
        <f>'10'!C9+'12'!C9</f>
        <v>12507664</v>
      </c>
      <c r="D9" s="248">
        <f t="shared" ref="D9:D15" si="0">C9/B9/12</f>
        <v>43656.036478271919</v>
      </c>
      <c r="E9" s="249">
        <f>'10'!E9+'12'!E9</f>
        <v>7872867</v>
      </c>
      <c r="F9" s="247">
        <f>'10'!F9+'12'!F9</f>
        <v>2239046</v>
      </c>
      <c r="G9" s="247">
        <f>'10'!G9+'12'!G9</f>
        <v>374188</v>
      </c>
      <c r="H9" s="247">
        <f>'10'!H9+'12'!H9</f>
        <v>1548831</v>
      </c>
      <c r="I9" s="247">
        <f>'10'!I9+'12'!I9</f>
        <v>226963</v>
      </c>
      <c r="J9" s="247">
        <f>'10'!J9+'12'!J9</f>
        <v>88654</v>
      </c>
      <c r="K9" s="247">
        <f>'10'!K9</f>
        <v>0</v>
      </c>
      <c r="L9" s="247">
        <f>'10'!L9</f>
        <v>146836</v>
      </c>
      <c r="M9" s="247">
        <f>'10'!M9+'12'!K9</f>
        <v>968</v>
      </c>
      <c r="N9" s="250">
        <f>'10'!N9+'12'!L9</f>
        <v>9311</v>
      </c>
      <c r="O9" s="252">
        <f>1319450+46800</f>
        <v>1366250</v>
      </c>
      <c r="P9" s="101"/>
      <c r="Q9" s="101"/>
      <c r="R9" s="101"/>
    </row>
    <row r="10" spans="1:18" ht="27.75" customHeight="1" x14ac:dyDescent="0.25">
      <c r="A10" s="85" t="s">
        <v>83</v>
      </c>
      <c r="B10" s="246">
        <f>'10'!B10+'12'!B10</f>
        <v>119.1046</v>
      </c>
      <c r="C10" s="247">
        <f>'10'!C10+'12'!C10</f>
        <v>54089051</v>
      </c>
      <c r="D10" s="248">
        <f>C10/B10/12</f>
        <v>37844.221941609867</v>
      </c>
      <c r="E10" s="249">
        <f>'10'!E10+'12'!E10</f>
        <v>35281886</v>
      </c>
      <c r="F10" s="247">
        <f>'10'!F10+'12'!F10</f>
        <v>9361543</v>
      </c>
      <c r="G10" s="247">
        <f>'10'!G10+'12'!G10</f>
        <v>2240302</v>
      </c>
      <c r="H10" s="247">
        <f>'10'!H10+'12'!H10</f>
        <v>5146212</v>
      </c>
      <c r="I10" s="247">
        <f>'10'!I10+'12'!I10</f>
        <v>839548</v>
      </c>
      <c r="J10" s="247">
        <f>'10'!J10+'12'!J10</f>
        <v>1142141</v>
      </c>
      <c r="K10" s="247">
        <f>'10'!K10</f>
        <v>64116</v>
      </c>
      <c r="L10" s="247">
        <f>'10'!L10</f>
        <v>0</v>
      </c>
      <c r="M10" s="247">
        <f>'10'!M10+'12'!K10</f>
        <v>1101</v>
      </c>
      <c r="N10" s="250">
        <f>'10'!N10+'12'!L10</f>
        <v>12202</v>
      </c>
      <c r="O10" s="252">
        <f>485089+431438</f>
        <v>916527</v>
      </c>
      <c r="P10" s="101"/>
      <c r="Q10" s="101"/>
      <c r="R10" s="101"/>
    </row>
    <row r="11" spans="1:18" ht="27.75" customHeight="1" x14ac:dyDescent="0.25">
      <c r="A11" s="85" t="s">
        <v>31</v>
      </c>
      <c r="B11" s="246">
        <f>'10'!B11+'12'!B11</f>
        <v>17.615200000000002</v>
      </c>
      <c r="C11" s="247">
        <f>'10'!C11+'12'!C11</f>
        <v>6945999</v>
      </c>
      <c r="D11" s="248">
        <f t="shared" si="0"/>
        <v>32859.873858940002</v>
      </c>
      <c r="E11" s="249">
        <f>'10'!E11+'12'!E11</f>
        <v>4863308</v>
      </c>
      <c r="F11" s="247">
        <f>'10'!F11+'12'!F11</f>
        <v>1258178</v>
      </c>
      <c r="G11" s="247">
        <f>'10'!G11+'12'!G11</f>
        <v>181689</v>
      </c>
      <c r="H11" s="247">
        <f>'10'!H11+'12'!H11</f>
        <v>475252</v>
      </c>
      <c r="I11" s="247">
        <f>'10'!I11+'12'!I11</f>
        <v>57072</v>
      </c>
      <c r="J11" s="247">
        <f>'10'!J11+'12'!J11</f>
        <v>96665</v>
      </c>
      <c r="K11" s="247">
        <f>'10'!K11</f>
        <v>0</v>
      </c>
      <c r="L11" s="247">
        <f>'10'!L11</f>
        <v>0</v>
      </c>
      <c r="M11" s="247">
        <f>'10'!M11+'12'!K11</f>
        <v>0</v>
      </c>
      <c r="N11" s="250">
        <f>'10'!N11+'12'!L11</f>
        <v>13835</v>
      </c>
      <c r="O11" s="252">
        <f>850+0</f>
        <v>850</v>
      </c>
      <c r="P11" s="101"/>
      <c r="Q11" s="101"/>
      <c r="R11" s="101"/>
    </row>
    <row r="12" spans="1:18" ht="27.75" customHeight="1" x14ac:dyDescent="0.25">
      <c r="A12" s="86" t="s">
        <v>26</v>
      </c>
      <c r="B12" s="246">
        <f>'10'!B12+'12'!B12</f>
        <v>54.586300000000001</v>
      </c>
      <c r="C12" s="247">
        <f>'10'!C12+'12'!C12</f>
        <v>15522843</v>
      </c>
      <c r="D12" s="248">
        <f>C12/B12/12</f>
        <v>23697.708948948726</v>
      </c>
      <c r="E12" s="249">
        <f>'12'!E12</f>
        <v>9686580</v>
      </c>
      <c r="F12" s="247">
        <f>'12'!F12</f>
        <v>3314732</v>
      </c>
      <c r="G12" s="247">
        <f>'12'!G12</f>
        <v>700138</v>
      </c>
      <c r="H12" s="247">
        <f>'12'!H12</f>
        <v>1306356</v>
      </c>
      <c r="I12" s="247">
        <f>'12'!I12+'10'!I12</f>
        <v>436761</v>
      </c>
      <c r="J12" s="247">
        <f>'12'!J12</f>
        <v>43181</v>
      </c>
      <c r="K12" s="247">
        <v>0</v>
      </c>
      <c r="L12" s="247">
        <v>0</v>
      </c>
      <c r="M12" s="247">
        <f>'12'!K12</f>
        <v>15227</v>
      </c>
      <c r="N12" s="250">
        <f>'12'!L12</f>
        <v>19868</v>
      </c>
      <c r="O12" s="252">
        <f>0+512449</f>
        <v>512449</v>
      </c>
      <c r="P12" s="204"/>
      <c r="Q12" s="101"/>
      <c r="R12" s="101"/>
    </row>
    <row r="13" spans="1:18" ht="27.75" customHeight="1" x14ac:dyDescent="0.25">
      <c r="A13" s="90" t="s">
        <v>11</v>
      </c>
      <c r="B13" s="246">
        <f>'10'!B13+'12'!B15</f>
        <v>153.68720000000002</v>
      </c>
      <c r="C13" s="247">
        <f>'10'!C13+'12'!C15</f>
        <v>67325879</v>
      </c>
      <c r="D13" s="248">
        <f t="shared" si="0"/>
        <v>36505.902356648214</v>
      </c>
      <c r="E13" s="249">
        <f>'10'!E13+'12'!E15</f>
        <v>40172131</v>
      </c>
      <c r="F13" s="247">
        <f>'10'!F13+'12'!F15</f>
        <v>8832677</v>
      </c>
      <c r="G13" s="247">
        <f>'10'!G13+'12'!G15</f>
        <v>2170408</v>
      </c>
      <c r="H13" s="247">
        <f>'10'!H13+'12'!H15</f>
        <v>7101060</v>
      </c>
      <c r="I13" s="247">
        <f>'10'!I13+'12'!I15</f>
        <v>1195558</v>
      </c>
      <c r="J13" s="247">
        <f>'10'!J13+'12'!J15</f>
        <v>632486</v>
      </c>
      <c r="K13" s="247">
        <f>'10'!K13</f>
        <v>0</v>
      </c>
      <c r="L13" s="247">
        <f>'10'!L13</f>
        <v>588558</v>
      </c>
      <c r="M13" s="247">
        <f>'10'!M13+'12'!K15</f>
        <v>601912</v>
      </c>
      <c r="N13" s="250">
        <f>'10'!N13+'12'!L15</f>
        <v>6031089</v>
      </c>
      <c r="O13" s="252">
        <f>296970+488670</f>
        <v>785640</v>
      </c>
      <c r="P13" s="101"/>
      <c r="Q13" s="101"/>
      <c r="R13" s="101"/>
    </row>
    <row r="14" spans="1:18" ht="27.75" customHeight="1" x14ac:dyDescent="0.25">
      <c r="A14" s="90" t="s">
        <v>8</v>
      </c>
      <c r="B14" s="267">
        <f>'10'!B14+'12'!B13</f>
        <v>13.460500000000001</v>
      </c>
      <c r="C14" s="268">
        <f>'10'!C14+'12'!C13</f>
        <v>6213433</v>
      </c>
      <c r="D14" s="269">
        <f t="shared" si="0"/>
        <v>38467.076507806785</v>
      </c>
      <c r="E14" s="270">
        <f>'10'!E14+'12'!E13</f>
        <v>4027371</v>
      </c>
      <c r="F14" s="268">
        <f>'10'!F14+'12'!F13</f>
        <v>1116733</v>
      </c>
      <c r="G14" s="268">
        <f>'10'!G14+'12'!G13</f>
        <v>160184</v>
      </c>
      <c r="H14" s="268">
        <f>'10'!H14+'12'!H13</f>
        <v>777701</v>
      </c>
      <c r="I14" s="268">
        <f>'10'!I14+'12'!I13</f>
        <v>15796</v>
      </c>
      <c r="J14" s="268">
        <f>'10'!J14+'12'!J13</f>
        <v>96264</v>
      </c>
      <c r="K14" s="268">
        <f>'10'!K14</f>
        <v>19384</v>
      </c>
      <c r="L14" s="268">
        <f>'10'!L14</f>
        <v>0</v>
      </c>
      <c r="M14" s="268">
        <f>'10'!M14+'12'!K13</f>
        <v>0</v>
      </c>
      <c r="N14" s="271">
        <f>'10'!N14+'12'!L13</f>
        <v>0</v>
      </c>
      <c r="O14" s="252">
        <f>33120+19043</f>
        <v>52163</v>
      </c>
      <c r="P14" s="101"/>
      <c r="Q14" s="101"/>
      <c r="R14" s="101"/>
    </row>
    <row r="15" spans="1:18" ht="27.75" customHeight="1" x14ac:dyDescent="0.25">
      <c r="A15" s="90" t="s">
        <v>84</v>
      </c>
      <c r="B15" s="253">
        <f>'10'!B15+'12'!B14</f>
        <v>14.8461</v>
      </c>
      <c r="C15" s="254">
        <f>'10'!C15+'12'!C14</f>
        <v>8844017</v>
      </c>
      <c r="D15" s="255">
        <f t="shared" si="0"/>
        <v>49642.762521245757</v>
      </c>
      <c r="E15" s="256">
        <f>'10'!E15+'12'!E14</f>
        <v>5179170</v>
      </c>
      <c r="F15" s="254">
        <f>'10'!F15+'12'!F14</f>
        <v>1389588</v>
      </c>
      <c r="G15" s="254">
        <f>'10'!G15+'12'!G14</f>
        <v>320972</v>
      </c>
      <c r="H15" s="254">
        <f>'10'!H15+'12'!H14</f>
        <v>1681971</v>
      </c>
      <c r="I15" s="254">
        <f>'10'!I15+'12'!I14</f>
        <v>145968</v>
      </c>
      <c r="J15" s="254">
        <f>'10'!J15+'12'!J14</f>
        <v>126348</v>
      </c>
      <c r="K15" s="254">
        <f>'10'!K15</f>
        <v>0</v>
      </c>
      <c r="L15" s="254">
        <f>'10'!L15</f>
        <v>0</v>
      </c>
      <c r="M15" s="254">
        <f>'10'!M15+'12'!K14</f>
        <v>0</v>
      </c>
      <c r="N15" s="257">
        <f>'10'!N15+'12'!L14</f>
        <v>0</v>
      </c>
      <c r="O15" s="266">
        <f>151532+75300</f>
        <v>226832</v>
      </c>
      <c r="P15" s="101"/>
      <c r="Q15" s="101"/>
      <c r="R15" s="101"/>
    </row>
    <row r="16" spans="1:18" ht="27.75" customHeight="1" thickBot="1" x14ac:dyDescent="0.3">
      <c r="A16" s="87" t="s">
        <v>55</v>
      </c>
      <c r="B16" s="258">
        <f>'10'!B16+'12'!B16</f>
        <v>143.56010000000001</v>
      </c>
      <c r="C16" s="259">
        <f>'10'!C16+'12'!C16</f>
        <v>58344184</v>
      </c>
      <c r="D16" s="260">
        <f>C16/B16/12</f>
        <v>33867.455743854545</v>
      </c>
      <c r="E16" s="261">
        <f>'10'!E16+'12'!E16</f>
        <v>37963204</v>
      </c>
      <c r="F16" s="259">
        <f>'10'!F16+'12'!F16</f>
        <v>11494165</v>
      </c>
      <c r="G16" s="259">
        <f>'10'!G16+'12'!G16</f>
        <v>2028659</v>
      </c>
      <c r="H16" s="259">
        <f>'10'!H16+'12'!H16</f>
        <v>4532900</v>
      </c>
      <c r="I16" s="259">
        <f>'10'!I16+'12'!I16</f>
        <v>1164489</v>
      </c>
      <c r="J16" s="259">
        <f>'10'!J16+'12'!J16</f>
        <v>78461</v>
      </c>
      <c r="K16" s="259">
        <f>'10'!K16</f>
        <v>0</v>
      </c>
      <c r="L16" s="259">
        <f>'10'!L16</f>
        <v>19268</v>
      </c>
      <c r="M16" s="259">
        <f>'10'!M16+'12'!K16</f>
        <v>61935</v>
      </c>
      <c r="N16" s="262">
        <f>'10'!N16+'12'!L16</f>
        <v>1001103</v>
      </c>
      <c r="O16" s="263">
        <f>32700+689760</f>
        <v>722460</v>
      </c>
      <c r="P16" s="101"/>
      <c r="Q16" s="101"/>
      <c r="R16" s="101"/>
    </row>
    <row r="17" spans="1:18" ht="27.75" customHeight="1" thickTop="1" thickBot="1" x14ac:dyDescent="0.3">
      <c r="A17" s="88" t="s">
        <v>52</v>
      </c>
      <c r="B17" s="264">
        <f>SUM(B8:B16)</f>
        <v>1635.8262999999995</v>
      </c>
      <c r="C17" s="26">
        <f>SUM(C8:C16)</f>
        <v>791654311</v>
      </c>
      <c r="D17" s="265">
        <f>C17/B17/12</f>
        <v>40328.971714987922</v>
      </c>
      <c r="E17" s="25">
        <f>SUM(E8:E16)</f>
        <v>499641602</v>
      </c>
      <c r="F17" s="26">
        <f>SUM(F8:F16)</f>
        <v>135548164</v>
      </c>
      <c r="G17" s="26">
        <f t="shared" ref="G17:O17" si="1">SUM(G8:G16)</f>
        <v>29253466</v>
      </c>
      <c r="H17" s="26">
        <f t="shared" si="1"/>
        <v>89819005</v>
      </c>
      <c r="I17" s="26">
        <f t="shared" si="1"/>
        <v>12739944</v>
      </c>
      <c r="J17" s="26">
        <f t="shared" si="1"/>
        <v>6411669</v>
      </c>
      <c r="K17" s="26">
        <f t="shared" si="1"/>
        <v>781296</v>
      </c>
      <c r="L17" s="26">
        <f t="shared" si="1"/>
        <v>9260573</v>
      </c>
      <c r="M17" s="26">
        <f t="shared" si="1"/>
        <v>900207</v>
      </c>
      <c r="N17" s="265">
        <f t="shared" si="1"/>
        <v>7298385</v>
      </c>
      <c r="O17" s="245">
        <f t="shared" si="1"/>
        <v>14942983</v>
      </c>
      <c r="Q17" s="101"/>
      <c r="R17" s="101"/>
    </row>
    <row r="18" spans="1:18" x14ac:dyDescent="0.25">
      <c r="A18" s="128"/>
      <c r="B18" s="128"/>
      <c r="C18" s="129"/>
      <c r="D18" s="130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</row>
    <row r="19" spans="1:18" x14ac:dyDescent="0.25">
      <c r="A19" s="128"/>
      <c r="B19" s="131"/>
      <c r="C19" s="13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25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"/>
    </row>
    <row r="21" spans="1:18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8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8" x14ac:dyDescent="0.25">
      <c r="A23" s="1"/>
      <c r="B23" s="1"/>
      <c r="C23" s="1"/>
      <c r="D23" s="67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8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</sheetData>
  <mergeCells count="7">
    <mergeCell ref="A5:O5"/>
    <mergeCell ref="A6:A7"/>
    <mergeCell ref="B6:B7"/>
    <mergeCell ref="C6:C7"/>
    <mergeCell ref="D6:D7"/>
    <mergeCell ref="E6:N6"/>
    <mergeCell ref="O6:O7"/>
  </mergeCells>
  <pageMargins left="0.19685039370078741" right="0.19685039370078741" top="0.78740157480314965" bottom="0.78740157480314965" header="0.31496062992125984" footer="0.31496062992125984"/>
  <pageSetup paperSize="9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workbookViewId="0">
      <selection activeCell="E14" sqref="E14:N14"/>
    </sheetView>
  </sheetViews>
  <sheetFormatPr defaultRowHeight="15" x14ac:dyDescent="0.25"/>
  <cols>
    <col min="1" max="1" width="8.7109375" customWidth="1"/>
    <col min="2" max="2" width="10.140625" customWidth="1"/>
    <col min="3" max="3" width="11.42578125" customWidth="1"/>
    <col min="4" max="4" width="11.140625" customWidth="1"/>
    <col min="5" max="5" width="11.28515625" customWidth="1"/>
    <col min="6" max="6" width="9.7109375" customWidth="1"/>
    <col min="7" max="7" width="10.28515625" bestFit="1" customWidth="1"/>
    <col min="8" max="10" width="9.5703125" bestFit="1" customWidth="1"/>
    <col min="11" max="11" width="10.85546875" customWidth="1"/>
    <col min="12" max="12" width="10.42578125" customWidth="1"/>
    <col min="13" max="13" width="9.5703125" bestFit="1" customWidth="1"/>
    <col min="14" max="14" width="9.5703125" customWidth="1"/>
    <col min="15" max="16" width="13.285156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67"/>
      <c r="I1" s="67"/>
      <c r="J1" s="67"/>
      <c r="K1" s="67"/>
      <c r="L1" s="1"/>
      <c r="M1" s="1"/>
      <c r="N1" s="1"/>
    </row>
    <row r="2" spans="1:17" x14ac:dyDescent="0.25">
      <c r="A2" s="1"/>
      <c r="B2" s="1"/>
      <c r="C2" s="1"/>
      <c r="D2" s="1"/>
      <c r="E2" s="1"/>
      <c r="F2" s="1"/>
      <c r="G2" s="1"/>
      <c r="H2" s="67"/>
      <c r="I2" s="67"/>
      <c r="J2" s="67"/>
      <c r="K2" s="67"/>
      <c r="L2" s="1"/>
      <c r="M2" s="1"/>
      <c r="N2" s="1"/>
    </row>
    <row r="3" spans="1:17" ht="15" customHeight="1" x14ac:dyDescent="0.25">
      <c r="A3" s="444" t="s">
        <v>106</v>
      </c>
      <c r="B3" s="444"/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</row>
    <row r="4" spans="1:17" ht="15.75" thickBot="1" x14ac:dyDescent="0.3">
      <c r="A4" s="1"/>
      <c r="B4" s="1"/>
      <c r="C4" s="1"/>
      <c r="D4" s="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1:17" ht="15.75" thickBot="1" x14ac:dyDescent="0.3">
      <c r="A5" s="423" t="s">
        <v>103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5"/>
    </row>
    <row r="6" spans="1:17" ht="15" customHeight="1" x14ac:dyDescent="0.25">
      <c r="A6" s="445" t="s">
        <v>36</v>
      </c>
      <c r="B6" s="439" t="s">
        <v>37</v>
      </c>
      <c r="C6" s="447" t="s">
        <v>56</v>
      </c>
      <c r="D6" s="432" t="s">
        <v>39</v>
      </c>
      <c r="E6" s="441" t="s">
        <v>40</v>
      </c>
      <c r="F6" s="442"/>
      <c r="G6" s="442"/>
      <c r="H6" s="442"/>
      <c r="I6" s="442"/>
      <c r="J6" s="442"/>
      <c r="K6" s="442"/>
      <c r="L6" s="442"/>
      <c r="M6" s="442"/>
      <c r="N6" s="443"/>
    </row>
    <row r="7" spans="1:17" ht="63" customHeight="1" thickBot="1" x14ac:dyDescent="0.3">
      <c r="A7" s="446"/>
      <c r="B7" s="440"/>
      <c r="C7" s="448"/>
      <c r="D7" s="433"/>
      <c r="E7" s="214" t="s">
        <v>42</v>
      </c>
      <c r="F7" s="215" t="s">
        <v>43</v>
      </c>
      <c r="G7" s="215" t="s">
        <v>44</v>
      </c>
      <c r="H7" s="215" t="s">
        <v>45</v>
      </c>
      <c r="I7" s="215" t="s">
        <v>46</v>
      </c>
      <c r="J7" s="215" t="s">
        <v>47</v>
      </c>
      <c r="K7" s="215" t="s">
        <v>77</v>
      </c>
      <c r="L7" s="82" t="s">
        <v>48</v>
      </c>
      <c r="M7" s="215" t="s">
        <v>49</v>
      </c>
      <c r="N7" s="83" t="s">
        <v>50</v>
      </c>
    </row>
    <row r="8" spans="1:17" ht="24" customHeight="1" thickTop="1" x14ac:dyDescent="0.25">
      <c r="A8" s="92" t="s">
        <v>24</v>
      </c>
      <c r="B8" s="272">
        <v>839.06320000000005</v>
      </c>
      <c r="C8" s="273">
        <v>362218955</v>
      </c>
      <c r="D8" s="274">
        <f t="shared" ref="D8:D14" si="0">C8/B8/12</f>
        <v>35974.540316708757</v>
      </c>
      <c r="E8" s="275">
        <v>235781806</v>
      </c>
      <c r="F8" s="276">
        <v>69731855</v>
      </c>
      <c r="G8" s="276">
        <v>8083298</v>
      </c>
      <c r="H8" s="276">
        <v>38989767</v>
      </c>
      <c r="I8" s="276">
        <v>8430350</v>
      </c>
      <c r="J8" s="276">
        <v>77614</v>
      </c>
      <c r="K8" s="276">
        <v>10170</v>
      </c>
      <c r="L8" s="276">
        <v>1079968</v>
      </c>
      <c r="M8" s="277">
        <v>19010</v>
      </c>
      <c r="N8" s="278">
        <v>15117</v>
      </c>
      <c r="O8" s="321"/>
      <c r="P8" s="101"/>
      <c r="Q8" s="101"/>
    </row>
    <row r="9" spans="1:17" ht="24" customHeight="1" x14ac:dyDescent="0.25">
      <c r="A9" s="93" t="s">
        <v>80</v>
      </c>
      <c r="B9" s="279">
        <v>1994.8264999999999</v>
      </c>
      <c r="C9" s="273">
        <v>1037282188</v>
      </c>
      <c r="D9" s="274">
        <f t="shared" si="0"/>
        <v>43332.180685053732</v>
      </c>
      <c r="E9" s="280">
        <v>660635969</v>
      </c>
      <c r="F9" s="281">
        <v>181413954</v>
      </c>
      <c r="G9" s="281">
        <v>20745022</v>
      </c>
      <c r="H9" s="281">
        <v>136331606</v>
      </c>
      <c r="I9" s="281">
        <v>16267319</v>
      </c>
      <c r="J9" s="281">
        <v>9784786</v>
      </c>
      <c r="K9" s="281">
        <v>1221245</v>
      </c>
      <c r="L9" s="281">
        <v>10752193</v>
      </c>
      <c r="M9" s="282">
        <v>18944</v>
      </c>
      <c r="N9" s="283">
        <v>111150</v>
      </c>
      <c r="O9" s="321"/>
      <c r="P9" s="101"/>
      <c r="Q9" s="101"/>
    </row>
    <row r="10" spans="1:17" ht="24" customHeight="1" x14ac:dyDescent="0.25">
      <c r="A10" s="93" t="s">
        <v>88</v>
      </c>
      <c r="B10" s="279">
        <v>131.72040000000001</v>
      </c>
      <c r="C10" s="273">
        <v>68006004</v>
      </c>
      <c r="D10" s="274">
        <f t="shared" si="0"/>
        <v>43024.216446351515</v>
      </c>
      <c r="E10" s="280">
        <v>41483512</v>
      </c>
      <c r="F10" s="281">
        <v>11867700</v>
      </c>
      <c r="G10" s="281">
        <v>1731575</v>
      </c>
      <c r="H10" s="281">
        <v>9750943</v>
      </c>
      <c r="I10" s="281">
        <v>1188869</v>
      </c>
      <c r="J10" s="281">
        <v>1794855</v>
      </c>
      <c r="K10" s="281">
        <v>17095</v>
      </c>
      <c r="L10" s="281">
        <v>171455</v>
      </c>
      <c r="M10" s="282">
        <v>0</v>
      </c>
      <c r="N10" s="283">
        <v>0</v>
      </c>
      <c r="O10" s="321"/>
      <c r="P10" s="101"/>
      <c r="Q10" s="101"/>
    </row>
    <row r="11" spans="1:17" ht="24" customHeight="1" x14ac:dyDescent="0.25">
      <c r="A11" s="93" t="s">
        <v>25</v>
      </c>
      <c r="B11" s="279">
        <v>247.0737</v>
      </c>
      <c r="C11" s="273">
        <v>102871572</v>
      </c>
      <c r="D11" s="274">
        <f t="shared" si="0"/>
        <v>34696.655289494593</v>
      </c>
      <c r="E11" s="280">
        <v>71721398</v>
      </c>
      <c r="F11" s="281">
        <v>19188667</v>
      </c>
      <c r="G11" s="281">
        <v>1069196</v>
      </c>
      <c r="H11" s="281">
        <v>9278118</v>
      </c>
      <c r="I11" s="281">
        <v>1107014</v>
      </c>
      <c r="J11" s="281">
        <v>82923</v>
      </c>
      <c r="K11" s="281">
        <v>18941</v>
      </c>
      <c r="L11" s="281">
        <v>178452</v>
      </c>
      <c r="M11" s="282">
        <v>4614</v>
      </c>
      <c r="N11" s="283">
        <v>222249</v>
      </c>
      <c r="O11" s="321"/>
      <c r="P11" s="101"/>
      <c r="Q11" s="101"/>
    </row>
    <row r="12" spans="1:17" ht="24" customHeight="1" x14ac:dyDescent="0.25">
      <c r="A12" s="94" t="s">
        <v>26</v>
      </c>
      <c r="B12" s="284">
        <v>0</v>
      </c>
      <c r="C12" s="273">
        <v>0</v>
      </c>
      <c r="D12" s="274">
        <v>0</v>
      </c>
      <c r="E12" s="280">
        <v>0</v>
      </c>
      <c r="F12" s="281">
        <v>0</v>
      </c>
      <c r="G12" s="281">
        <v>0</v>
      </c>
      <c r="H12" s="281">
        <v>0</v>
      </c>
      <c r="I12" s="281">
        <v>0</v>
      </c>
      <c r="J12" s="281">
        <v>0</v>
      </c>
      <c r="K12" s="281">
        <v>0</v>
      </c>
      <c r="L12" s="281">
        <v>0</v>
      </c>
      <c r="M12" s="282">
        <v>0</v>
      </c>
      <c r="N12" s="283">
        <v>0</v>
      </c>
      <c r="O12" s="321"/>
      <c r="P12" s="101"/>
      <c r="Q12" s="101"/>
    </row>
    <row r="13" spans="1:17" ht="24" customHeight="1" thickBot="1" x14ac:dyDescent="0.3">
      <c r="A13" s="95" t="s">
        <v>51</v>
      </c>
      <c r="B13" s="285">
        <v>354.92720000000003</v>
      </c>
      <c r="C13" s="286">
        <v>190393244</v>
      </c>
      <c r="D13" s="287">
        <f t="shared" si="0"/>
        <v>44702.416908782041</v>
      </c>
      <c r="E13" s="288">
        <v>122140181</v>
      </c>
      <c r="F13" s="289">
        <v>34217123</v>
      </c>
      <c r="G13" s="289">
        <v>5062760</v>
      </c>
      <c r="H13" s="289">
        <v>22053487</v>
      </c>
      <c r="I13" s="289">
        <v>4596149</v>
      </c>
      <c r="J13" s="289">
        <v>42675</v>
      </c>
      <c r="K13" s="289">
        <v>0</v>
      </c>
      <c r="L13" s="289">
        <v>2046449</v>
      </c>
      <c r="M13" s="290">
        <v>116094</v>
      </c>
      <c r="N13" s="291">
        <v>118326</v>
      </c>
      <c r="O13" s="321"/>
      <c r="P13" s="101"/>
      <c r="Q13" s="101"/>
    </row>
    <row r="14" spans="1:17" ht="24" customHeight="1" thickTop="1" thickBot="1" x14ac:dyDescent="0.3">
      <c r="A14" s="88" t="s">
        <v>52</v>
      </c>
      <c r="B14" s="264">
        <f>SUM(B8:B13)</f>
        <v>3567.6109999999999</v>
      </c>
      <c r="C14" s="26">
        <f>SUM(C8:C13)</f>
        <v>1760771963</v>
      </c>
      <c r="D14" s="265">
        <f t="shared" si="0"/>
        <v>41128.642365063533</v>
      </c>
      <c r="E14" s="243">
        <f>SUM(E8:E13)</f>
        <v>1131762866</v>
      </c>
      <c r="F14" s="244">
        <f t="shared" ref="F14:N14" si="1">SUM(F8:F13)</f>
        <v>316419299</v>
      </c>
      <c r="G14" s="244">
        <f t="shared" si="1"/>
        <v>36691851</v>
      </c>
      <c r="H14" s="244">
        <f t="shared" si="1"/>
        <v>216403921</v>
      </c>
      <c r="I14" s="244">
        <f t="shared" si="1"/>
        <v>31589701</v>
      </c>
      <c r="J14" s="244">
        <f t="shared" si="1"/>
        <v>11782853</v>
      </c>
      <c r="K14" s="244">
        <f t="shared" si="1"/>
        <v>1267451</v>
      </c>
      <c r="L14" s="244">
        <f t="shared" si="1"/>
        <v>14228517</v>
      </c>
      <c r="M14" s="244">
        <f t="shared" si="1"/>
        <v>158662</v>
      </c>
      <c r="N14" s="29">
        <f t="shared" si="1"/>
        <v>466842</v>
      </c>
      <c r="Q14" s="101"/>
    </row>
    <row r="15" spans="1:17" x14ac:dyDescent="0.25">
      <c r="Q15" s="101"/>
    </row>
    <row r="16" spans="1:17" x14ac:dyDescent="0.25">
      <c r="E16" s="79"/>
      <c r="F16" s="101"/>
      <c r="G16" s="101"/>
      <c r="H16" s="101"/>
      <c r="I16" s="101"/>
      <c r="J16" s="101"/>
      <c r="K16" s="101"/>
      <c r="L16" s="101"/>
      <c r="M16" s="101"/>
      <c r="N16" s="101"/>
    </row>
    <row r="17" spans="3:7" x14ac:dyDescent="0.25">
      <c r="C17" s="79"/>
      <c r="G17" t="s">
        <v>1</v>
      </c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27559055118110237" right="0.39370078740157483" top="0.78740157480314965" bottom="0.78740157480314965" header="0.31496062992125984" footer="0.31496062992125984"/>
  <pageSetup paperSize="9" scale="9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10</vt:i4>
      </vt:variant>
    </vt:vector>
  </HeadingPairs>
  <TitlesOfParts>
    <vt:vector size="2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'10'!Oblast_tisku</vt:lpstr>
      <vt:lpstr>'11'!Oblast_tisku</vt:lpstr>
      <vt:lpstr>'12'!Oblast_tisku</vt:lpstr>
      <vt:lpstr>'13'!Oblast_tisku</vt:lpstr>
      <vt:lpstr>'14'!Oblast_tisku</vt:lpstr>
      <vt:lpstr>'15'!Oblast_tisku</vt:lpstr>
      <vt:lpstr>'16'!Oblast_tisku</vt:lpstr>
      <vt:lpstr>'7'!Oblast_tisku</vt:lpstr>
      <vt:lpstr>'8'!Oblast_tisku</vt:lpstr>
      <vt:lpstr>'9'!Oblast_tisku</vt:lpstr>
    </vt:vector>
  </TitlesOfParts>
  <Company>Karlovarský kraj Krajský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dagmar.rochova</dc:creator>
  <cp:lastModifiedBy>Jambor Stanislav</cp:lastModifiedBy>
  <cp:lastPrinted>2021-09-24T07:52:55Z</cp:lastPrinted>
  <dcterms:created xsi:type="dcterms:W3CDTF">2014-09-15T11:14:01Z</dcterms:created>
  <dcterms:modified xsi:type="dcterms:W3CDTF">2022-03-03T08:33:09Z</dcterms:modified>
</cp:coreProperties>
</file>