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Výročka 2019\stav leden 2019\"/>
    </mc:Choice>
  </mc:AlternateContent>
  <bookViews>
    <workbookView xWindow="0" yWindow="0" windowWidth="28776" windowHeight="12276" activeTab="14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  <sheet name="7" sheetId="7" r:id="rId7"/>
    <sheet name="8" sheetId="8" r:id="rId8"/>
    <sheet name="9" sheetId="9" r:id="rId9"/>
    <sheet name="10" sheetId="10" r:id="rId10"/>
    <sheet name="11" sheetId="11" r:id="rId11"/>
    <sheet name="12" sheetId="12" r:id="rId12"/>
    <sheet name="13" sheetId="13" r:id="rId13"/>
    <sheet name="14" sheetId="14" r:id="rId14"/>
    <sheet name="15" sheetId="15" r:id="rId15"/>
    <sheet name="16" sheetId="16" r:id="rId16"/>
  </sheets>
  <calcPr calcId="162913"/>
</workbook>
</file>

<file path=xl/calcChain.xml><?xml version="1.0" encoding="utf-8"?>
<calcChain xmlns="http://schemas.openxmlformats.org/spreadsheetml/2006/main">
  <c r="M8" i="4" l="1"/>
  <c r="M9" i="4"/>
  <c r="M10" i="4"/>
  <c r="M11" i="4"/>
  <c r="M12" i="4"/>
  <c r="M13" i="4"/>
  <c r="M7" i="4"/>
  <c r="F7" i="2"/>
  <c r="G7" i="1"/>
  <c r="G7" i="4" l="1"/>
  <c r="L8" i="4" l="1"/>
  <c r="L9" i="4"/>
  <c r="L10" i="4"/>
  <c r="L11" i="4"/>
  <c r="L12" i="4"/>
  <c r="L13" i="4"/>
  <c r="L7" i="4"/>
  <c r="K8" i="4"/>
  <c r="K9" i="4"/>
  <c r="K10" i="4"/>
  <c r="K11" i="4"/>
  <c r="K12" i="4"/>
  <c r="K13" i="4"/>
  <c r="K7" i="4"/>
  <c r="J8" i="4"/>
  <c r="J9" i="4"/>
  <c r="J10" i="4"/>
  <c r="J11" i="4"/>
  <c r="J12" i="4"/>
  <c r="J13" i="4"/>
  <c r="J7" i="4"/>
  <c r="I8" i="4"/>
  <c r="I9" i="4"/>
  <c r="I10" i="4"/>
  <c r="I11" i="4"/>
  <c r="I12" i="4"/>
  <c r="I13" i="4"/>
  <c r="I7" i="4"/>
  <c r="H8" i="4"/>
  <c r="H9" i="4"/>
  <c r="H10" i="4"/>
  <c r="H11" i="4"/>
  <c r="H12" i="4"/>
  <c r="H13" i="4"/>
  <c r="H7" i="4"/>
  <c r="O14" i="3"/>
  <c r="O13" i="3"/>
  <c r="O12" i="3"/>
  <c r="O11" i="3"/>
  <c r="O10" i="3"/>
  <c r="O9" i="3"/>
  <c r="O8" i="3"/>
  <c r="O7" i="3"/>
  <c r="H7" i="3"/>
  <c r="K14" i="3"/>
  <c r="L14" i="3"/>
  <c r="M14" i="3"/>
  <c r="N14" i="3"/>
  <c r="J14" i="3"/>
  <c r="N13" i="3"/>
  <c r="N12" i="3"/>
  <c r="L12" i="3"/>
  <c r="N11" i="3"/>
  <c r="N10" i="3"/>
  <c r="N9" i="3"/>
  <c r="N8" i="3"/>
  <c r="L8" i="3"/>
  <c r="N7" i="3"/>
  <c r="L7" i="3"/>
  <c r="F8" i="5" l="1"/>
  <c r="F9" i="5"/>
  <c r="F10" i="5"/>
  <c r="F11" i="5"/>
  <c r="F12" i="5"/>
  <c r="I14" i="3"/>
  <c r="G9" i="6"/>
  <c r="G10" i="6"/>
  <c r="G11" i="6"/>
  <c r="F8" i="6"/>
  <c r="F9" i="6"/>
  <c r="F10" i="6"/>
  <c r="F11" i="6"/>
  <c r="F12" i="6"/>
  <c r="F7" i="6"/>
  <c r="E11" i="6"/>
  <c r="E10" i="6"/>
  <c r="E9" i="6"/>
  <c r="E8" i="6"/>
  <c r="G8" i="6" s="1"/>
  <c r="E7" i="6"/>
  <c r="G7" i="6" s="1"/>
  <c r="D12" i="6"/>
  <c r="D11" i="6"/>
  <c r="D10" i="6"/>
  <c r="D9" i="6"/>
  <c r="D8" i="6"/>
  <c r="D7" i="6"/>
  <c r="G8" i="5"/>
  <c r="G9" i="5"/>
  <c r="G10" i="5"/>
  <c r="G11" i="5"/>
  <c r="G7" i="5"/>
  <c r="F7" i="5"/>
  <c r="E12" i="5"/>
  <c r="G12" i="5" s="1"/>
  <c r="D12" i="5"/>
  <c r="E12" i="6" l="1"/>
  <c r="G12" i="6" s="1"/>
  <c r="J12" i="2" l="1"/>
  <c r="I12" i="2"/>
  <c r="H12" i="2"/>
  <c r="G12" i="2"/>
  <c r="J9" i="2"/>
  <c r="J10" i="2"/>
  <c r="J11" i="2"/>
  <c r="I9" i="2"/>
  <c r="I10" i="2"/>
  <c r="I11" i="2"/>
  <c r="H9" i="2"/>
  <c r="H10" i="2"/>
  <c r="H11" i="2"/>
  <c r="G9" i="2"/>
  <c r="G10" i="2"/>
  <c r="G11" i="2"/>
  <c r="J8" i="2"/>
  <c r="I8" i="2"/>
  <c r="H8" i="2"/>
  <c r="G8" i="2"/>
  <c r="J7" i="2"/>
  <c r="I7" i="2"/>
  <c r="H7" i="2"/>
  <c r="G7" i="2"/>
  <c r="H15" i="1"/>
  <c r="I15" i="1"/>
  <c r="J15" i="1"/>
  <c r="K15" i="1"/>
  <c r="L15" i="1"/>
  <c r="M14" i="1"/>
  <c r="M13" i="1"/>
  <c r="M12" i="1"/>
  <c r="M11" i="1"/>
  <c r="M10" i="1"/>
  <c r="M9" i="1"/>
  <c r="M7" i="1"/>
  <c r="M8" i="1"/>
  <c r="K7" i="2" l="1"/>
  <c r="K9" i="2"/>
  <c r="K8" i="2"/>
  <c r="K11" i="2"/>
  <c r="K12" i="2"/>
  <c r="K10" i="2"/>
  <c r="M15" i="1" l="1"/>
  <c r="D8" i="9"/>
  <c r="J37" i="14" l="1"/>
  <c r="I37" i="14"/>
  <c r="H37" i="14"/>
  <c r="J29" i="14"/>
  <c r="J30" i="14"/>
  <c r="J31" i="14"/>
  <c r="J32" i="14"/>
  <c r="J33" i="14"/>
  <c r="J34" i="14"/>
  <c r="J28" i="14"/>
  <c r="I34" i="14"/>
  <c r="H34" i="14"/>
  <c r="J20" i="14"/>
  <c r="J21" i="14"/>
  <c r="J22" i="14"/>
  <c r="J23" i="14"/>
  <c r="J19" i="14"/>
  <c r="J18" i="14"/>
  <c r="J17" i="14"/>
  <c r="I23" i="14"/>
  <c r="H23" i="14"/>
  <c r="J9" i="14"/>
  <c r="J10" i="14"/>
  <c r="J11" i="14"/>
  <c r="J12" i="14"/>
  <c r="J8" i="14"/>
  <c r="J7" i="14"/>
  <c r="J6" i="14"/>
  <c r="I12" i="14"/>
  <c r="H12" i="14"/>
  <c r="J50" i="16"/>
  <c r="I50" i="16"/>
  <c r="H50" i="16"/>
  <c r="J32" i="16"/>
  <c r="I32" i="16"/>
  <c r="H32" i="16"/>
  <c r="J31" i="16"/>
  <c r="J27" i="16"/>
  <c r="J23" i="16"/>
  <c r="J8" i="16"/>
  <c r="J9" i="16"/>
  <c r="J10" i="16"/>
  <c r="J11" i="16"/>
  <c r="J12" i="16"/>
  <c r="J13" i="16"/>
  <c r="J14" i="16"/>
  <c r="J15" i="16"/>
  <c r="J16" i="16"/>
  <c r="J17" i="16"/>
  <c r="J7" i="16"/>
  <c r="I17" i="16"/>
  <c r="H17" i="16"/>
  <c r="J47" i="16" l="1"/>
  <c r="I47" i="16"/>
  <c r="H47" i="16"/>
  <c r="J39" i="16"/>
  <c r="J40" i="16"/>
  <c r="J42" i="16"/>
  <c r="J45" i="16"/>
  <c r="J46" i="16"/>
  <c r="J38" i="16"/>
  <c r="J21" i="15" l="1"/>
  <c r="I21" i="15"/>
  <c r="H21" i="15"/>
  <c r="J9" i="15"/>
  <c r="J10" i="15"/>
  <c r="J11" i="15"/>
  <c r="J12" i="15"/>
  <c r="J13" i="15"/>
  <c r="J14" i="15"/>
  <c r="J15" i="15"/>
  <c r="J16" i="15"/>
  <c r="J17" i="15"/>
  <c r="J18" i="15"/>
  <c r="J19" i="15"/>
  <c r="J20" i="15"/>
  <c r="J8" i="15"/>
  <c r="J14" i="13"/>
  <c r="J9" i="13"/>
  <c r="J10" i="13"/>
  <c r="J11" i="13"/>
  <c r="J12" i="13"/>
  <c r="J13" i="13"/>
  <c r="J8" i="13"/>
  <c r="I14" i="13"/>
  <c r="H14" i="13"/>
  <c r="D14" i="12" l="1"/>
  <c r="D13" i="12"/>
  <c r="D15" i="10"/>
  <c r="D14" i="10"/>
  <c r="D15" i="8" l="1"/>
  <c r="D14" i="8"/>
  <c r="E15" i="7" l="1"/>
  <c r="B10" i="7" l="1"/>
  <c r="N9" i="7"/>
  <c r="M9" i="7"/>
  <c r="K9" i="7"/>
  <c r="I9" i="7"/>
  <c r="H9" i="7"/>
  <c r="G9" i="7"/>
  <c r="F9" i="7"/>
  <c r="E9" i="7"/>
  <c r="C12" i="5" l="1"/>
  <c r="E8" i="3" l="1"/>
  <c r="C8" i="3"/>
  <c r="E10" i="3"/>
  <c r="E12" i="3"/>
  <c r="D8" i="3"/>
  <c r="E7" i="3"/>
  <c r="C7" i="3"/>
  <c r="C7" i="1"/>
  <c r="C15" i="1" s="1"/>
  <c r="C17" i="12" l="1"/>
  <c r="C11" i="12"/>
  <c r="D8" i="12"/>
  <c r="O17" i="8"/>
  <c r="G33" i="14" l="1"/>
  <c r="G32" i="14"/>
  <c r="G31" i="14"/>
  <c r="G30" i="14"/>
  <c r="G29" i="14"/>
  <c r="G28" i="14"/>
  <c r="G22" i="14"/>
  <c r="G21" i="14"/>
  <c r="G20" i="14"/>
  <c r="G19" i="14"/>
  <c r="G18" i="14"/>
  <c r="G17" i="14"/>
  <c r="G11" i="14"/>
  <c r="G10" i="14"/>
  <c r="G9" i="14"/>
  <c r="G8" i="14"/>
  <c r="G7" i="14"/>
  <c r="G6" i="14"/>
  <c r="B14" i="11"/>
  <c r="E32" i="16"/>
  <c r="E17" i="16"/>
  <c r="G46" i="16"/>
  <c r="G45" i="16"/>
  <c r="G42" i="16"/>
  <c r="G40" i="16"/>
  <c r="G39" i="16"/>
  <c r="G38" i="16"/>
  <c r="G31" i="16"/>
  <c r="G27" i="16"/>
  <c r="G23" i="16"/>
  <c r="G16" i="16"/>
  <c r="G15" i="16"/>
  <c r="G14" i="16"/>
  <c r="G13" i="16"/>
  <c r="G12" i="16"/>
  <c r="G11" i="16"/>
  <c r="G10" i="16"/>
  <c r="G9" i="16"/>
  <c r="G8" i="16"/>
  <c r="G7" i="16"/>
  <c r="D8" i="10" l="1"/>
  <c r="D16" i="12"/>
  <c r="D15" i="12"/>
  <c r="D12" i="12"/>
  <c r="D10" i="12"/>
  <c r="D9" i="12"/>
  <c r="F34" i="14" l="1"/>
  <c r="E34" i="14"/>
  <c r="F23" i="14"/>
  <c r="G23" i="14" s="1"/>
  <c r="E23" i="14"/>
  <c r="F12" i="14"/>
  <c r="E12" i="14"/>
  <c r="E37" i="14" s="1"/>
  <c r="F47" i="16"/>
  <c r="E47" i="16"/>
  <c r="E50" i="16" s="1"/>
  <c r="F32" i="16"/>
  <c r="G32" i="16" s="1"/>
  <c r="D13" i="11"/>
  <c r="L14" i="11"/>
  <c r="K14" i="11"/>
  <c r="J14" i="11"/>
  <c r="I14" i="11"/>
  <c r="H14" i="11"/>
  <c r="G14" i="11"/>
  <c r="F14" i="11"/>
  <c r="E14" i="11"/>
  <c r="M11" i="7"/>
  <c r="J13" i="7"/>
  <c r="K13" i="7"/>
  <c r="L13" i="7"/>
  <c r="B12" i="5"/>
  <c r="F14" i="3"/>
  <c r="E14" i="3"/>
  <c r="D14" i="3"/>
  <c r="C14" i="3"/>
  <c r="B14" i="3"/>
  <c r="F15" i="1"/>
  <c r="E15" i="1"/>
  <c r="D15" i="1"/>
  <c r="B15" i="1"/>
  <c r="G34" i="14" l="1"/>
  <c r="G47" i="16"/>
  <c r="F37" i="14"/>
  <c r="G37" i="14" s="1"/>
  <c r="G12" i="14"/>
  <c r="G8" i="1" l="1"/>
  <c r="B8" i="6" l="1"/>
  <c r="B9" i="6"/>
  <c r="B10" i="6"/>
  <c r="B11" i="6"/>
  <c r="B7" i="6"/>
  <c r="C9" i="6" l="1"/>
  <c r="C7" i="6"/>
  <c r="B12" i="6"/>
  <c r="C12" i="6" s="1"/>
  <c r="C8" i="6"/>
  <c r="C11" i="6"/>
  <c r="C10" i="6"/>
  <c r="G7" i="3"/>
  <c r="B8" i="2" l="1"/>
  <c r="C14" i="11" l="1"/>
  <c r="D14" i="11" l="1"/>
  <c r="C7" i="2"/>
  <c r="K15" i="7" l="1"/>
  <c r="K14" i="9"/>
  <c r="K16" i="8"/>
  <c r="K13" i="8"/>
  <c r="K12" i="8"/>
  <c r="K11" i="8"/>
  <c r="K9" i="8"/>
  <c r="K17" i="10"/>
  <c r="F17" i="16"/>
  <c r="F50" i="16" s="1"/>
  <c r="G50" i="16" l="1"/>
  <c r="K17" i="8"/>
  <c r="E9" i="15" l="1"/>
  <c r="F9" i="15"/>
  <c r="E10" i="15"/>
  <c r="F10" i="15"/>
  <c r="E11" i="15"/>
  <c r="F11" i="15"/>
  <c r="E12" i="15"/>
  <c r="F12" i="15"/>
  <c r="E13" i="15"/>
  <c r="F13" i="15"/>
  <c r="E14" i="15"/>
  <c r="F14" i="15"/>
  <c r="E15" i="15"/>
  <c r="F15" i="15"/>
  <c r="E16" i="15"/>
  <c r="F16" i="15"/>
  <c r="E17" i="15"/>
  <c r="F17" i="15"/>
  <c r="F8" i="15"/>
  <c r="E8" i="15"/>
  <c r="F13" i="13"/>
  <c r="E13" i="13"/>
  <c r="F12" i="13"/>
  <c r="E12" i="13"/>
  <c r="F11" i="13"/>
  <c r="E11" i="13"/>
  <c r="F10" i="13"/>
  <c r="E10" i="13"/>
  <c r="F9" i="13"/>
  <c r="E9" i="13"/>
  <c r="F8" i="13"/>
  <c r="E8" i="13"/>
  <c r="B7" i="4"/>
  <c r="F17" i="12"/>
  <c r="E17" i="12"/>
  <c r="B17" i="12"/>
  <c r="L17" i="12"/>
  <c r="K17" i="12"/>
  <c r="J17" i="12"/>
  <c r="I17" i="12"/>
  <c r="H17" i="12"/>
  <c r="G17" i="12"/>
  <c r="N17" i="10"/>
  <c r="M17" i="10"/>
  <c r="L17" i="10"/>
  <c r="J17" i="10"/>
  <c r="I17" i="10"/>
  <c r="H17" i="10"/>
  <c r="G17" i="10"/>
  <c r="F17" i="10"/>
  <c r="B17" i="10"/>
  <c r="E17" i="10"/>
  <c r="D10" i="10"/>
  <c r="D11" i="10"/>
  <c r="C12" i="10"/>
  <c r="D13" i="10"/>
  <c r="D16" i="10"/>
  <c r="M11" i="8"/>
  <c r="L11" i="8"/>
  <c r="L12" i="8"/>
  <c r="D12" i="11"/>
  <c r="D11" i="11"/>
  <c r="D10" i="11"/>
  <c r="D9" i="11"/>
  <c r="E14" i="9"/>
  <c r="N14" i="9"/>
  <c r="M14" i="9"/>
  <c r="L14" i="9"/>
  <c r="J14" i="9"/>
  <c r="I14" i="9"/>
  <c r="H14" i="9"/>
  <c r="G14" i="9"/>
  <c r="F14" i="9"/>
  <c r="D10" i="9"/>
  <c r="B14" i="9"/>
  <c r="D13" i="9"/>
  <c r="C12" i="9"/>
  <c r="D11" i="9"/>
  <c r="J15" i="7"/>
  <c r="G15" i="7"/>
  <c r="F15" i="7"/>
  <c r="D9" i="4"/>
  <c r="E9" i="4"/>
  <c r="F9" i="4"/>
  <c r="D10" i="4"/>
  <c r="E10" i="4"/>
  <c r="F10" i="4"/>
  <c r="D11" i="4"/>
  <c r="E11" i="4"/>
  <c r="F11" i="4"/>
  <c r="D12" i="4"/>
  <c r="E12" i="4"/>
  <c r="F12" i="4"/>
  <c r="D13" i="4"/>
  <c r="E13" i="4"/>
  <c r="F13" i="4"/>
  <c r="C13" i="4"/>
  <c r="C12" i="4"/>
  <c r="C11" i="4"/>
  <c r="C10" i="4"/>
  <c r="C9" i="4"/>
  <c r="D8" i="4"/>
  <c r="E8" i="4"/>
  <c r="F8" i="4"/>
  <c r="C8" i="4"/>
  <c r="D7" i="4"/>
  <c r="E7" i="4"/>
  <c r="F7" i="4"/>
  <c r="C7" i="4"/>
  <c r="B8" i="4"/>
  <c r="B9" i="4"/>
  <c r="B10" i="4"/>
  <c r="B11" i="4"/>
  <c r="B12" i="4"/>
  <c r="B13" i="4"/>
  <c r="G13" i="3"/>
  <c r="G12" i="3"/>
  <c r="G11" i="3"/>
  <c r="G10" i="3"/>
  <c r="G9" i="3"/>
  <c r="G8" i="3"/>
  <c r="G14" i="1"/>
  <c r="G13" i="1"/>
  <c r="G12" i="1"/>
  <c r="G11" i="1"/>
  <c r="G10" i="1"/>
  <c r="G9" i="1"/>
  <c r="E12" i="2"/>
  <c r="D12" i="2"/>
  <c r="C12" i="2"/>
  <c r="B12" i="2"/>
  <c r="C8" i="2"/>
  <c r="D8" i="2"/>
  <c r="E8" i="2"/>
  <c r="B9" i="2"/>
  <c r="C9" i="2"/>
  <c r="D9" i="2"/>
  <c r="E9" i="2"/>
  <c r="B10" i="2"/>
  <c r="C10" i="2"/>
  <c r="D10" i="2"/>
  <c r="E10" i="2"/>
  <c r="B11" i="2"/>
  <c r="C11" i="2"/>
  <c r="D11" i="2"/>
  <c r="E11" i="2"/>
  <c r="E7" i="2"/>
  <c r="D7" i="2"/>
  <c r="B7" i="2"/>
  <c r="G10" i="13" l="1"/>
  <c r="C14" i="9"/>
  <c r="D14" i="9" s="1"/>
  <c r="D10" i="8"/>
  <c r="H17" i="8"/>
  <c r="D12" i="8"/>
  <c r="D9" i="10"/>
  <c r="C17" i="10"/>
  <c r="D17" i="10" s="1"/>
  <c r="B15" i="7"/>
  <c r="D9" i="9"/>
  <c r="G15" i="15"/>
  <c r="G17" i="15"/>
  <c r="G13" i="15"/>
  <c r="G11" i="15"/>
  <c r="G9" i="15"/>
  <c r="F21" i="15"/>
  <c r="G16" i="15"/>
  <c r="G14" i="15"/>
  <c r="G12" i="15"/>
  <c r="G10" i="15"/>
  <c r="F14" i="13"/>
  <c r="G12" i="13"/>
  <c r="G9" i="13"/>
  <c r="G11" i="13"/>
  <c r="G13" i="13"/>
  <c r="D13" i="8"/>
  <c r="I17" i="8"/>
  <c r="D8" i="8"/>
  <c r="M17" i="8"/>
  <c r="N17" i="8"/>
  <c r="D9" i="8"/>
  <c r="D11" i="8"/>
  <c r="J17" i="8"/>
  <c r="G17" i="8"/>
  <c r="L17" i="8"/>
  <c r="D14" i="7"/>
  <c r="D12" i="7"/>
  <c r="G11" i="4"/>
  <c r="F9" i="2"/>
  <c r="F12" i="2"/>
  <c r="I15" i="7"/>
  <c r="L15" i="7"/>
  <c r="N15" i="7"/>
  <c r="E14" i="13"/>
  <c r="G8" i="15"/>
  <c r="E21" i="15"/>
  <c r="M15" i="7"/>
  <c r="G9" i="4"/>
  <c r="H15" i="7"/>
  <c r="D16" i="8"/>
  <c r="F8" i="2"/>
  <c r="G12" i="4"/>
  <c r="G10" i="4"/>
  <c r="G13" i="4"/>
  <c r="F11" i="2"/>
  <c r="F10" i="2"/>
  <c r="B17" i="8"/>
  <c r="D17" i="12"/>
  <c r="G14" i="3"/>
  <c r="D11" i="7"/>
  <c r="D13" i="7"/>
  <c r="E17" i="8"/>
  <c r="G8" i="13"/>
  <c r="G8" i="4"/>
  <c r="G15" i="1"/>
  <c r="G17" i="16"/>
  <c r="F17" i="8"/>
  <c r="D8" i="11"/>
  <c r="D10" i="7"/>
  <c r="C17" i="8" l="1"/>
  <c r="D17" i="8" s="1"/>
  <c r="C15" i="7"/>
  <c r="D15" i="7" s="1"/>
  <c r="G14" i="13"/>
  <c r="G21" i="15"/>
  <c r="H8" i="3"/>
  <c r="D9" i="7"/>
  <c r="H13" i="3"/>
  <c r="H11" i="3"/>
  <c r="H9" i="3"/>
  <c r="H10" i="3"/>
  <c r="H12" i="3"/>
  <c r="H14" i="3" l="1"/>
</calcChain>
</file>

<file path=xl/sharedStrings.xml><?xml version="1.0" encoding="utf-8"?>
<sst xmlns="http://schemas.openxmlformats.org/spreadsheetml/2006/main" count="487" uniqueCount="117">
  <si>
    <r>
      <t>Příloha č. 1:</t>
    </r>
    <r>
      <rPr>
        <i/>
        <sz val="11.5"/>
        <rFont val="Times New Roman"/>
        <family val="1"/>
        <charset val="238"/>
      </rPr>
      <t xml:space="preserve"> Celkové výdaje na školy a školská zařízení zřizované Karlovarským krajem v Kč</t>
    </r>
  </si>
  <si>
    <t xml:space="preserve"> </t>
  </si>
  <si>
    <t xml:space="preserve">Školy a školská zařízení </t>
  </si>
  <si>
    <t>přímé výdaje</t>
  </si>
  <si>
    <t>provozní výdaje</t>
  </si>
  <si>
    <t>investiční výdaje</t>
  </si>
  <si>
    <t>programové financování</t>
  </si>
  <si>
    <t>celkem</t>
  </si>
  <si>
    <t>ZŠ</t>
  </si>
  <si>
    <t>SŠ</t>
  </si>
  <si>
    <t>VOŠ</t>
  </si>
  <si>
    <t>DD</t>
  </si>
  <si>
    <t>DM</t>
  </si>
  <si>
    <t>ZUŠ</t>
  </si>
  <si>
    <t>PPP</t>
  </si>
  <si>
    <t>DDM</t>
  </si>
  <si>
    <t>ŠS, ŠJ</t>
  </si>
  <si>
    <t>C e l k e m</t>
  </si>
  <si>
    <r>
      <t xml:space="preserve">Příloha č. 2: </t>
    </r>
    <r>
      <rPr>
        <i/>
        <sz val="11.5"/>
        <rFont val="Times New Roman"/>
        <family val="1"/>
        <charset val="238"/>
      </rPr>
      <t>Výdaje na dítě, žáka, studenta ve školách a školských zařízeních zřizovaných Karlovarským krajem v Kč</t>
    </r>
  </si>
  <si>
    <r>
      <t xml:space="preserve">Příloha č. 3: </t>
    </r>
    <r>
      <rPr>
        <i/>
        <sz val="11.5"/>
        <rFont val="Times New Roman"/>
        <family val="1"/>
        <charset val="238"/>
      </rPr>
      <t>Celkové výdaje na přímé výdaje ve školách a školských zařízeních zřizovaných obcemi v Kč</t>
    </r>
  </si>
  <si>
    <t>výkony</t>
  </si>
  <si>
    <t>platy</t>
  </si>
  <si>
    <t>OON</t>
  </si>
  <si>
    <t>odvody, FKSP a ONIV</t>
  </si>
  <si>
    <t>přímé výdaje vč. programové-ho financování</t>
  </si>
  <si>
    <t>procent-ní podíl</t>
  </si>
  <si>
    <t>MŠ</t>
  </si>
  <si>
    <t>ŠD, ŠK</t>
  </si>
  <si>
    <t>ŠJ</t>
  </si>
  <si>
    <t>Celkem</t>
  </si>
  <si>
    <r>
      <t xml:space="preserve">Příloha č. 4: </t>
    </r>
    <r>
      <rPr>
        <i/>
        <sz val="11.5"/>
        <rFont val="Times New Roman"/>
        <family val="1"/>
        <charset val="238"/>
      </rPr>
      <t>Výdaje na jedno dítě, žáka a studenta na přímé výdaje ve školách a školských zařízeních zřizovaných obcemi v Kč</t>
    </r>
  </si>
  <si>
    <t>platy na žáka</t>
  </si>
  <si>
    <t>programo-vé financování</t>
  </si>
  <si>
    <t>celkové přímé výdaje</t>
  </si>
  <si>
    <t>ŠD</t>
  </si>
  <si>
    <t>přímé výdaje vč. programového financování</t>
  </si>
  <si>
    <t>ZŠ, ZŠ pro ŽSVP</t>
  </si>
  <si>
    <r>
      <t xml:space="preserve">Příloha č. 5: </t>
    </r>
    <r>
      <rPr>
        <i/>
        <sz val="11.5"/>
        <rFont val="Times New Roman"/>
        <family val="1"/>
        <charset val="238"/>
      </rPr>
      <t>Celkové výdaje na školy a školská zařízení zřizované soukromníkem v Kč</t>
    </r>
  </si>
  <si>
    <r>
      <t xml:space="preserve">Příloha č. 6: </t>
    </r>
    <r>
      <rPr>
        <i/>
        <sz val="11.5"/>
        <rFont val="Times New Roman"/>
        <family val="1"/>
        <charset val="238"/>
      </rPr>
      <t>Výdaje na dítě, žáka a studenta ve školách a školských zařízeních zřizovaných soukromníkem v Kč</t>
    </r>
  </si>
  <si>
    <t>Regionální školství</t>
  </si>
  <si>
    <t>Přepočtený počet zaměstnanců ze státního rozpočtu</t>
  </si>
  <si>
    <t>Mzdové prostředky bez OON  v Kč</t>
  </si>
  <si>
    <t>Průměrný měsíční plat v Kč ze mzdových postředků bez OON</t>
  </si>
  <si>
    <t>Jednotlivé složky platů v Kč</t>
  </si>
  <si>
    <t>OON                   v Kč</t>
  </si>
  <si>
    <t>Platové tarify</t>
  </si>
  <si>
    <t>Náhrady platu</t>
  </si>
  <si>
    <t>Osobní příplatky</t>
  </si>
  <si>
    <t>Odměny</t>
  </si>
  <si>
    <t>Příplatky za vedení</t>
  </si>
  <si>
    <t>Zvláštní příplatky</t>
  </si>
  <si>
    <t>Odměny za přespočetné hodiny</t>
  </si>
  <si>
    <t>Platy za přesčasy</t>
  </si>
  <si>
    <t>Ostatní příplatky a ostatní náhrady</t>
  </si>
  <si>
    <t>ZUŠ, DDM</t>
  </si>
  <si>
    <t xml:space="preserve">C E L K E M </t>
  </si>
  <si>
    <t>Mzdové prostředky bez OON                   v Kč</t>
  </si>
  <si>
    <t>OON                              v  Kč</t>
  </si>
  <si>
    <t>ZUŠ, DDM, DM, PPP, ŠH</t>
  </si>
  <si>
    <t>Mzdové prostředky bez OON                v Kč</t>
  </si>
  <si>
    <t>MŠ, ZŠ, SŠ pro ŽSVP</t>
  </si>
  <si>
    <t>Mzdové prostředky bez OON      v Kč</t>
  </si>
  <si>
    <t>C E L K E M</t>
  </si>
  <si>
    <t>Druh zařízení</t>
  </si>
  <si>
    <t>ø eviden. počet zaměst.</t>
  </si>
  <si>
    <t>platy zaměstnanců za rok</t>
  </si>
  <si>
    <t>ø měsíční plat na 1 zaměst.</t>
  </si>
  <si>
    <t>plat na 1</t>
  </si>
  <si>
    <t>CELKEM</t>
  </si>
  <si>
    <t>okres Karlovy Vary</t>
  </si>
  <si>
    <t>platy zaměst-nanců za rok</t>
  </si>
  <si>
    <t>okres Sokolov</t>
  </si>
  <si>
    <t>ZŠ,SŠ,ZŠ a SŠ pro ŽSVP</t>
  </si>
  <si>
    <t>okres Cheb</t>
  </si>
  <si>
    <t>OKRESY CELKEM</t>
  </si>
  <si>
    <t>MŠ a ZŠ pro ŽSVP</t>
  </si>
  <si>
    <t>SPC a PPP</t>
  </si>
  <si>
    <t xml:space="preserve">DD </t>
  </si>
  <si>
    <r>
      <rPr>
        <sz val="10"/>
        <rFont val="Arial"/>
        <family val="2"/>
        <charset val="238"/>
      </rPr>
      <t>Příloha č. 16:</t>
    </r>
    <r>
      <rPr>
        <i/>
        <sz val="10"/>
        <rFont val="Arial"/>
        <family val="2"/>
        <charset val="238"/>
      </rPr>
      <t xml:space="preserve"> Vývoj průměrného platu ve školách a školských zařízeních zřizovaných Karlovarským krajem podle okresů v Kč</t>
    </r>
  </si>
  <si>
    <t>specializační příplatky</t>
  </si>
  <si>
    <t>Specializační příplatky</t>
  </si>
  <si>
    <t>rok 2015</t>
  </si>
  <si>
    <t>Příloha č. 14: Vývoj průměrného platu ve školách a školských zařízeních zřizovaných obcemi podle okresů v Kč</t>
  </si>
  <si>
    <t>SŠ, SPV</t>
  </si>
  <si>
    <t>ZŠ, SŠ</t>
  </si>
  <si>
    <t>ZŠ a SŠ pro ŽSVP</t>
  </si>
  <si>
    <t>SŠ, VOŠ</t>
  </si>
  <si>
    <t>výkony 2015/2016</t>
  </si>
  <si>
    <t xml:space="preserve"> rok  2016</t>
  </si>
  <si>
    <t>rok 2016</t>
  </si>
  <si>
    <r>
      <t xml:space="preserve">Příloha č. 7: </t>
    </r>
    <r>
      <rPr>
        <i/>
        <sz val="11.5"/>
        <rFont val="Times New Roman"/>
        <family val="1"/>
        <charset val="238"/>
      </rPr>
      <t>Přehled o pracovnících a platech hrazených ze státního rozpočtu ve školách a školských zařízeních zřizovaných obcemi za rok 2017</t>
    </r>
  </si>
  <si>
    <t>Zřizovatel - obec - rok 2017 - pracovníci celkem</t>
  </si>
  <si>
    <r>
      <t xml:space="preserve">Příloha č. 8: </t>
    </r>
    <r>
      <rPr>
        <i/>
        <sz val="11.5"/>
        <rFont val="Times New Roman"/>
        <family val="1"/>
        <charset val="238"/>
      </rPr>
      <t>Přehled o pracovnících a platech hrazených ze státního rozpočtu ve školách a školských zařízeních zřizovaných Karlovarským krajem za rok 2017</t>
    </r>
  </si>
  <si>
    <t>Zřizovatel - Karlovarský kraj - rok 2017 - pracovníci celkem</t>
  </si>
  <si>
    <t>ZŠ, SPC, SŠ pro ŽSVP</t>
  </si>
  <si>
    <t xml:space="preserve">MŠ a ZŠ při zdrav.zař. </t>
  </si>
  <si>
    <r>
      <t xml:space="preserve">Příloha č. 10: </t>
    </r>
    <r>
      <rPr>
        <i/>
        <sz val="11"/>
        <rFont val="Times New Roman"/>
        <family val="1"/>
        <charset val="238"/>
      </rPr>
      <t>Platové složky pedagogických pracovníků hrazené ze státního rozpočtu ve školách a školských zařízeních zřizovaných Karlovarským krajem za rok 2017</t>
    </r>
  </si>
  <si>
    <t xml:space="preserve">Zřizovatel - Karlovarský kraj - rok 2017 - pedagogičtí pracovníci </t>
  </si>
  <si>
    <t xml:space="preserve">Zřizovatel - Karlovarský kraj - rok 2017 - nepedagogičtí pracovníci </t>
  </si>
  <si>
    <t xml:space="preserve"> ZŠ, SPC,  SŠ pro ŽSVP</t>
  </si>
  <si>
    <t xml:space="preserve"> ZŠ, SPC, SŠ pro ŽSVP</t>
  </si>
  <si>
    <t>MŠ, ZŠ při zdrav.zař.</t>
  </si>
  <si>
    <r>
      <t xml:space="preserve">Příloha č. 12: </t>
    </r>
    <r>
      <rPr>
        <i/>
        <sz val="11.5"/>
        <rFont val="Times New Roman"/>
        <family val="1"/>
        <charset val="238"/>
      </rPr>
      <t xml:space="preserve">Platové složky nepedagogických pracovníků hrazené ze státního rozpočtu ve školách a školských zařízeních zřizovaných Karlovarským krajem za rok </t>
    </r>
    <r>
      <rPr>
        <sz val="11.5"/>
        <rFont val="Times New Roman"/>
        <family val="1"/>
        <charset val="238"/>
      </rPr>
      <t>2017</t>
    </r>
  </si>
  <si>
    <t xml:space="preserve"> ZŠ, SŠ pro ŽSVP</t>
  </si>
  <si>
    <t xml:space="preserve">Zřizovatel - obec - rok 2017 - pedagogičtí pracovníci </t>
  </si>
  <si>
    <r>
      <t xml:space="preserve">Příloha č. 9: </t>
    </r>
    <r>
      <rPr>
        <i/>
        <sz val="11.5"/>
        <rFont val="Times New Roman"/>
        <family val="1"/>
        <charset val="238"/>
      </rPr>
      <t>Platové složky pedagogických pracovníků hrazené ze státního rozpočtu ve školách a školských zařízeních zřizovaných obcemi za rok 2017</t>
    </r>
  </si>
  <si>
    <r>
      <t xml:space="preserve">Příloha č. 11: </t>
    </r>
    <r>
      <rPr>
        <i/>
        <sz val="11.5"/>
        <rFont val="Times New Roman"/>
        <family val="1"/>
        <charset val="238"/>
      </rPr>
      <t>Platové složky nepedagogických pracovníků hrazené ze státního rozpočtu ve školách a školských zařízeních zřizovaných obcemi za rok 2017</t>
    </r>
  </si>
  <si>
    <t xml:space="preserve">Zřizovatel - obec - rok 2017 - nepedagogičtí pracovníci </t>
  </si>
  <si>
    <r>
      <t xml:space="preserve">Příloha č. 13: </t>
    </r>
    <r>
      <rPr>
        <i/>
        <sz val="11.5"/>
        <rFont val="Times New Roman"/>
        <family val="1"/>
        <charset val="238"/>
      </rPr>
      <t xml:space="preserve">Vývoj průměrného platu ve školách a školských zařízeních </t>
    </r>
    <r>
      <rPr>
        <b/>
        <i/>
        <sz val="11.5"/>
        <rFont val="Times New Roman"/>
        <family val="1"/>
        <charset val="238"/>
      </rPr>
      <t>zřizovaných obcemi</t>
    </r>
    <r>
      <rPr>
        <i/>
        <sz val="11.5"/>
        <rFont val="Times New Roman"/>
        <family val="1"/>
        <charset val="238"/>
      </rPr>
      <t xml:space="preserve"> v Kč</t>
    </r>
  </si>
  <si>
    <t>rok 2017</t>
  </si>
  <si>
    <t>ZŠ, SŠ pro ŽSVP</t>
  </si>
  <si>
    <r>
      <rPr>
        <sz val="10"/>
        <rFont val="Arial"/>
        <family val="2"/>
        <charset val="238"/>
      </rPr>
      <t xml:space="preserve">Příloha č. 15: </t>
    </r>
    <r>
      <rPr>
        <i/>
        <sz val="10"/>
        <rFont val="Arial"/>
        <family val="2"/>
        <charset val="238"/>
      </rPr>
      <t xml:space="preserve">Vývoj průměrného platu ve školách a školských zařízeních </t>
    </r>
    <r>
      <rPr>
        <b/>
        <i/>
        <sz val="10"/>
        <rFont val="Arial"/>
        <family val="2"/>
        <charset val="238"/>
      </rPr>
      <t>zřizovaných Karlovarským krajem</t>
    </r>
    <r>
      <rPr>
        <i/>
        <sz val="10"/>
        <rFont val="Arial"/>
        <family val="2"/>
        <charset val="238"/>
      </rPr>
      <t xml:space="preserve"> v Kč</t>
    </r>
  </si>
  <si>
    <t>ŠH</t>
  </si>
  <si>
    <t>MŠ a ZŠ při zdrav. zař.</t>
  </si>
  <si>
    <t>výkony 2016/2017</t>
  </si>
  <si>
    <t xml:space="preserve"> rok  2017</t>
  </si>
  <si>
    <t>index 2017/2016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</si>
</sst>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#,##0.0000"/>
    <numFmt numFmtId="166" formatCode="0.000"/>
  </numFmts>
  <fonts count="28" x14ac:knownFonts="1">
    <font>
      <sz val="11"/>
      <color theme="1"/>
      <name val="Calibri"/>
      <family val="2"/>
      <charset val="238"/>
      <scheme val="minor"/>
    </font>
    <font>
      <sz val="11.5"/>
      <name val="Times New Roman"/>
      <family val="1"/>
      <charset val="238"/>
    </font>
    <font>
      <i/>
      <sz val="11.5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7.5"/>
      <name val="Arial"/>
      <family val="2"/>
      <charset val="238"/>
    </font>
    <font>
      <sz val="9"/>
      <name val="Arial"/>
      <family val="2"/>
      <charset val="238"/>
    </font>
    <font>
      <sz val="7.5"/>
      <name val="Arial"/>
      <family val="2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2"/>
      <name val="Arial"/>
      <family val="2"/>
      <charset val="238"/>
    </font>
    <font>
      <i/>
      <sz val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9"/>
      <color rgb="FFFF0000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i/>
      <sz val="11.5"/>
      <name val="Times New Roman"/>
      <family val="1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sz val="7.5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10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504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Alignment="1">
      <alignment vertical="center"/>
    </xf>
    <xf numFmtId="4" fontId="3" fillId="0" borderId="0" xfId="0" applyNumberFormat="1" applyFont="1" applyBorder="1" applyAlignment="1">
      <alignment vertical="center"/>
    </xf>
    <xf numFmtId="3" fontId="4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9" xfId="0" applyFill="1" applyBorder="1" applyAlignment="1">
      <alignment horizontal="left" vertical="center"/>
    </xf>
    <xf numFmtId="3" fontId="4" fillId="0" borderId="10" xfId="0" applyNumberFormat="1" applyFont="1" applyFill="1" applyBorder="1" applyAlignment="1">
      <alignment horizontal="right" vertical="center"/>
    </xf>
    <xf numFmtId="3" fontId="4" fillId="0" borderId="11" xfId="0" applyNumberFormat="1" applyFont="1" applyFill="1" applyBorder="1" applyAlignment="1">
      <alignment horizontal="right" vertical="center"/>
    </xf>
    <xf numFmtId="3" fontId="4" fillId="2" borderId="11" xfId="0" applyNumberFormat="1" applyFont="1" applyFill="1" applyBorder="1" applyAlignment="1">
      <alignment horizontal="right" vertical="center"/>
    </xf>
    <xf numFmtId="3" fontId="4" fillId="0" borderId="12" xfId="0" applyNumberFormat="1" applyFont="1" applyBorder="1" applyAlignment="1">
      <alignment horizontal="right" vertical="center"/>
    </xf>
    <xf numFmtId="0" fontId="0" fillId="0" borderId="13" xfId="0" applyFill="1" applyBorder="1" applyAlignment="1">
      <alignment horizontal="left" vertical="center"/>
    </xf>
    <xf numFmtId="3" fontId="4" fillId="0" borderId="14" xfId="0" applyNumberFormat="1" applyFont="1" applyFill="1" applyBorder="1" applyAlignment="1">
      <alignment horizontal="right" vertical="center"/>
    </xf>
    <xf numFmtId="3" fontId="4" fillId="0" borderId="15" xfId="0" applyNumberFormat="1" applyFont="1" applyFill="1" applyBorder="1" applyAlignment="1">
      <alignment horizontal="right" vertical="center"/>
    </xf>
    <xf numFmtId="3" fontId="4" fillId="2" borderId="15" xfId="0" applyNumberFormat="1" applyFont="1" applyFill="1" applyBorder="1" applyAlignment="1">
      <alignment horizontal="righ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 wrapText="1"/>
    </xf>
    <xf numFmtId="3" fontId="4" fillId="0" borderId="6" xfId="0" applyNumberFormat="1" applyFont="1" applyFill="1" applyBorder="1" applyAlignment="1">
      <alignment horizontal="right" vertical="center"/>
    </xf>
    <xf numFmtId="3" fontId="4" fillId="0" borderId="7" xfId="0" applyNumberFormat="1" applyFont="1" applyFill="1" applyBorder="1" applyAlignment="1">
      <alignment horizontal="right" vertical="center"/>
    </xf>
    <xf numFmtId="3" fontId="4" fillId="0" borderId="17" xfId="0" applyNumberFormat="1" applyFont="1" applyBorder="1" applyAlignment="1">
      <alignment horizontal="right" vertical="center"/>
    </xf>
    <xf numFmtId="0" fontId="6" fillId="0" borderId="18" xfId="0" applyFont="1" applyBorder="1" applyAlignment="1">
      <alignment horizontal="left" vertical="center"/>
    </xf>
    <xf numFmtId="3" fontId="4" fillId="0" borderId="19" xfId="0" applyNumberFormat="1" applyFont="1" applyBorder="1" applyAlignment="1">
      <alignment horizontal="right" vertical="center"/>
    </xf>
    <xf numFmtId="3" fontId="4" fillId="0" borderId="20" xfId="0" applyNumberFormat="1" applyFont="1" applyBorder="1" applyAlignment="1">
      <alignment horizontal="right" vertical="center"/>
    </xf>
    <xf numFmtId="3" fontId="4" fillId="0" borderId="20" xfId="0" applyNumberFormat="1" applyFont="1" applyFill="1" applyBorder="1" applyAlignment="1">
      <alignment horizontal="right" vertical="center"/>
    </xf>
    <xf numFmtId="3" fontId="4" fillId="3" borderId="20" xfId="0" applyNumberFormat="1" applyFont="1" applyFill="1" applyBorder="1" applyAlignment="1">
      <alignment horizontal="right" vertical="center"/>
    </xf>
    <xf numFmtId="3" fontId="4" fillId="0" borderId="21" xfId="0" applyNumberFormat="1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3" fontId="4" fillId="0" borderId="11" xfId="0" applyNumberFormat="1" applyFont="1" applyBorder="1" applyAlignment="1">
      <alignment vertical="center"/>
    </xf>
    <xf numFmtId="3" fontId="4" fillId="0" borderId="12" xfId="0" applyNumberFormat="1" applyFont="1" applyBorder="1" applyAlignment="1">
      <alignment vertical="center"/>
    </xf>
    <xf numFmtId="3" fontId="4" fillId="0" borderId="10" xfId="0" applyNumberFormat="1" applyFont="1" applyBorder="1" applyAlignment="1">
      <alignment vertical="center"/>
    </xf>
    <xf numFmtId="0" fontId="0" fillId="0" borderId="13" xfId="0" applyBorder="1" applyAlignment="1">
      <alignment vertical="center"/>
    </xf>
    <xf numFmtId="3" fontId="4" fillId="0" borderId="22" xfId="0" applyNumberFormat="1" applyFont="1" applyFill="1" applyBorder="1" applyAlignment="1">
      <alignment vertical="center"/>
    </xf>
    <xf numFmtId="3" fontId="4" fillId="0" borderId="10" xfId="0" applyNumberFormat="1" applyFont="1" applyFill="1" applyBorder="1" applyAlignment="1">
      <alignment vertical="center"/>
    </xf>
    <xf numFmtId="3" fontId="4" fillId="0" borderId="15" xfId="0" applyNumberFormat="1" applyFont="1" applyBorder="1" applyAlignment="1">
      <alignment vertical="center"/>
    </xf>
    <xf numFmtId="3" fontId="4" fillId="0" borderId="22" xfId="0" applyNumberFormat="1" applyFont="1" applyBorder="1" applyAlignment="1">
      <alignment vertical="center"/>
    </xf>
    <xf numFmtId="0" fontId="0" fillId="0" borderId="23" xfId="0" applyBorder="1" applyAlignment="1">
      <alignment vertical="center"/>
    </xf>
    <xf numFmtId="3" fontId="4" fillId="0" borderId="20" xfId="0" applyNumberFormat="1" applyFont="1" applyBorder="1" applyAlignment="1">
      <alignment vertical="center"/>
    </xf>
    <xf numFmtId="3" fontId="4" fillId="0" borderId="25" xfId="0" applyNumberFormat="1" applyFont="1" applyBorder="1" applyAlignment="1">
      <alignment vertical="center"/>
    </xf>
    <xf numFmtId="3" fontId="4" fillId="0" borderId="19" xfId="0" applyNumberFormat="1" applyFont="1" applyBorder="1" applyAlignment="1">
      <alignment vertical="center"/>
    </xf>
    <xf numFmtId="0" fontId="3" fillId="0" borderId="28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2" fontId="3" fillId="0" borderId="8" xfId="0" applyNumberFormat="1" applyFont="1" applyFill="1" applyBorder="1" applyAlignment="1">
      <alignment horizontal="center" vertical="center" wrapText="1"/>
    </xf>
    <xf numFmtId="0" fontId="8" fillId="0" borderId="9" xfId="0" applyFont="1" applyBorder="1" applyAlignment="1">
      <alignment vertical="center"/>
    </xf>
    <xf numFmtId="3" fontId="4" fillId="0" borderId="29" xfId="0" applyNumberFormat="1" applyFont="1" applyFill="1" applyBorder="1" applyAlignment="1">
      <alignment horizontal="right" vertical="center"/>
    </xf>
    <xf numFmtId="3" fontId="9" fillId="0" borderId="30" xfId="0" applyNumberFormat="1" applyFont="1" applyBorder="1" applyAlignment="1">
      <alignment horizontal="right" vertical="center"/>
    </xf>
    <xf numFmtId="3" fontId="9" fillId="0" borderId="31" xfId="0" applyNumberFormat="1" applyFont="1" applyBorder="1" applyAlignment="1">
      <alignment horizontal="right" vertical="center" wrapText="1"/>
    </xf>
    <xf numFmtId="3" fontId="4" fillId="3" borderId="11" xfId="0" applyNumberFormat="1" applyFont="1" applyFill="1" applyBorder="1" applyAlignment="1">
      <alignment horizontal="right" vertical="center"/>
    </xf>
    <xf numFmtId="2" fontId="4" fillId="0" borderId="12" xfId="0" applyNumberFormat="1" applyFont="1" applyBorder="1" applyAlignment="1">
      <alignment horizontal="right" vertical="center"/>
    </xf>
    <xf numFmtId="0" fontId="8" fillId="0" borderId="13" xfId="0" applyFont="1" applyBorder="1" applyAlignment="1">
      <alignment vertical="center"/>
    </xf>
    <xf numFmtId="3" fontId="4" fillId="0" borderId="32" xfId="0" applyNumberFormat="1" applyFont="1" applyFill="1" applyBorder="1" applyAlignment="1">
      <alignment horizontal="right" vertical="center"/>
    </xf>
    <xf numFmtId="3" fontId="9" fillId="0" borderId="33" xfId="0" applyNumberFormat="1" applyFont="1" applyBorder="1" applyAlignment="1">
      <alignment horizontal="right" vertical="center"/>
    </xf>
    <xf numFmtId="3" fontId="9" fillId="0" borderId="34" xfId="0" applyNumberFormat="1" applyFont="1" applyBorder="1" applyAlignment="1">
      <alignment horizontal="right" vertical="center" wrapText="1"/>
    </xf>
    <xf numFmtId="3" fontId="4" fillId="0" borderId="15" xfId="0" applyNumberFormat="1" applyFont="1" applyBorder="1" applyAlignment="1">
      <alignment horizontal="right" vertical="center"/>
    </xf>
    <xf numFmtId="0" fontId="8" fillId="0" borderId="16" xfId="0" applyFont="1" applyBorder="1" applyAlignment="1">
      <alignment vertical="center"/>
    </xf>
    <xf numFmtId="3" fontId="9" fillId="0" borderId="35" xfId="0" applyNumberFormat="1" applyFont="1" applyBorder="1" applyAlignment="1">
      <alignment horizontal="right" vertical="center"/>
    </xf>
    <xf numFmtId="3" fontId="9" fillId="0" borderId="36" xfId="0" applyNumberFormat="1" applyFont="1" applyBorder="1" applyAlignment="1">
      <alignment horizontal="right" vertical="center" wrapText="1"/>
    </xf>
    <xf numFmtId="3" fontId="4" fillId="3" borderId="7" xfId="0" applyNumberFormat="1" applyFont="1" applyFill="1" applyBorder="1" applyAlignment="1">
      <alignment horizontal="right" vertical="center"/>
    </xf>
    <xf numFmtId="0" fontId="6" fillId="0" borderId="18" xfId="0" applyFont="1" applyBorder="1" applyAlignment="1">
      <alignment vertical="center"/>
    </xf>
    <xf numFmtId="3" fontId="3" fillId="0" borderId="37" xfId="0" applyNumberFormat="1" applyFont="1" applyBorder="1" applyAlignment="1">
      <alignment horizontal="right" vertical="center"/>
    </xf>
    <xf numFmtId="3" fontId="3" fillId="0" borderId="20" xfId="0" applyNumberFormat="1" applyFont="1" applyBorder="1" applyAlignment="1">
      <alignment horizontal="right" vertical="center"/>
    </xf>
    <xf numFmtId="2" fontId="3" fillId="0" borderId="38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 wrapText="1"/>
    </xf>
    <xf numFmtId="3" fontId="0" fillId="0" borderId="0" xfId="0" applyNumberFormat="1" applyAlignment="1">
      <alignment vertical="center"/>
    </xf>
    <xf numFmtId="3" fontId="3" fillId="0" borderId="43" xfId="0" applyNumberFormat="1" applyFont="1" applyFill="1" applyBorder="1" applyAlignment="1">
      <alignment horizontal="center" vertical="center" wrapText="1"/>
    </xf>
    <xf numFmtId="3" fontId="3" fillId="0" borderId="43" xfId="0" applyNumberFormat="1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3" fontId="4" fillId="0" borderId="12" xfId="0" applyNumberFormat="1" applyFont="1" applyFill="1" applyBorder="1" applyAlignment="1">
      <alignment vertical="center"/>
    </xf>
    <xf numFmtId="4" fontId="4" fillId="0" borderId="10" xfId="0" applyNumberFormat="1" applyFont="1" applyBorder="1" applyAlignment="1">
      <alignment vertical="center"/>
    </xf>
    <xf numFmtId="4" fontId="4" fillId="0" borderId="12" xfId="0" applyNumberFormat="1" applyFont="1" applyBorder="1" applyAlignment="1">
      <alignment vertical="center"/>
    </xf>
    <xf numFmtId="3" fontId="4" fillId="0" borderId="14" xfId="0" applyNumberFormat="1" applyFont="1" applyFill="1" applyBorder="1" applyAlignment="1">
      <alignment vertical="center"/>
    </xf>
    <xf numFmtId="0" fontId="0" fillId="0" borderId="16" xfId="0" applyBorder="1" applyAlignment="1">
      <alignment vertical="center"/>
    </xf>
    <xf numFmtId="3" fontId="4" fillId="0" borderId="6" xfId="0" applyNumberFormat="1" applyFont="1" applyFill="1" applyBorder="1" applyAlignment="1">
      <alignment vertical="center"/>
    </xf>
    <xf numFmtId="3" fontId="4" fillId="0" borderId="8" xfId="0" applyNumberFormat="1" applyFont="1" applyFill="1" applyBorder="1" applyAlignment="1">
      <alignment vertical="center"/>
    </xf>
    <xf numFmtId="3" fontId="3" fillId="0" borderId="19" xfId="0" applyNumberFormat="1" applyFont="1" applyBorder="1" applyAlignment="1">
      <alignment vertical="center"/>
    </xf>
    <xf numFmtId="3" fontId="3" fillId="0" borderId="38" xfId="0" applyNumberFormat="1" applyFont="1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0" xfId="0" applyAlignment="1">
      <alignment horizontal="left" vertical="center" wrapText="1"/>
    </xf>
    <xf numFmtId="164" fontId="0" fillId="0" borderId="0" xfId="0" applyNumberFormat="1"/>
    <xf numFmtId="164" fontId="0" fillId="0" borderId="0" xfId="0" applyNumberFormat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4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3" borderId="56" xfId="0" applyFont="1" applyFill="1" applyBorder="1" applyAlignment="1">
      <alignment horizontal="left" vertical="center" wrapText="1"/>
    </xf>
    <xf numFmtId="0" fontId="4" fillId="0" borderId="5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164" fontId="4" fillId="0" borderId="59" xfId="0" applyNumberFormat="1" applyFont="1" applyBorder="1" applyAlignment="1">
      <alignment horizontal="center" vertical="center"/>
    </xf>
    <xf numFmtId="3" fontId="9" fillId="0" borderId="20" xfId="0" applyNumberFormat="1" applyFont="1" applyBorder="1" applyAlignment="1">
      <alignment horizontal="center" vertical="center"/>
    </xf>
    <xf numFmtId="3" fontId="9" fillId="0" borderId="60" xfId="0" applyNumberFormat="1" applyFont="1" applyBorder="1" applyAlignment="1">
      <alignment horizontal="center" vertical="center"/>
    </xf>
    <xf numFmtId="3" fontId="4" fillId="0" borderId="59" xfId="0" applyNumberFormat="1" applyFont="1" applyBorder="1" applyAlignment="1">
      <alignment horizontal="center" vertical="center"/>
    </xf>
    <xf numFmtId="3" fontId="4" fillId="0" borderId="60" xfId="0" applyNumberFormat="1" applyFont="1" applyBorder="1" applyAlignment="1">
      <alignment horizontal="center" vertical="center"/>
    </xf>
    <xf numFmtId="3" fontId="4" fillId="0" borderId="38" xfId="0" applyNumberFormat="1" applyFont="1" applyBorder="1" applyAlignment="1">
      <alignment horizontal="center" vertical="center"/>
    </xf>
    <xf numFmtId="3" fontId="9" fillId="0" borderId="18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4" fillId="3" borderId="61" xfId="0" applyFont="1" applyFill="1" applyBorder="1" applyAlignment="1">
      <alignment horizontal="left" vertical="center" wrapText="1"/>
    </xf>
    <xf numFmtId="164" fontId="4" fillId="0" borderId="19" xfId="0" applyNumberFormat="1" applyFont="1" applyBorder="1" applyAlignment="1">
      <alignment horizontal="center" vertical="center"/>
    </xf>
    <xf numFmtId="3" fontId="4" fillId="0" borderId="20" xfId="0" applyNumberFormat="1" applyFont="1" applyBorder="1" applyAlignment="1">
      <alignment horizontal="center" vertical="center"/>
    </xf>
    <xf numFmtId="3" fontId="4" fillId="0" borderId="19" xfId="0" applyNumberFormat="1" applyFont="1" applyBorder="1" applyAlignment="1">
      <alignment horizontal="center" vertical="center"/>
    </xf>
    <xf numFmtId="3" fontId="4" fillId="0" borderId="18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4" fillId="0" borderId="9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59" xfId="0" applyFont="1" applyBorder="1" applyAlignment="1">
      <alignment horizontal="left" vertical="center" wrapText="1"/>
    </xf>
    <xf numFmtId="3" fontId="4" fillId="0" borderId="37" xfId="0" applyNumberFormat="1" applyFont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3" fontId="4" fillId="0" borderId="78" xfId="0" applyNumberFormat="1" applyFont="1" applyBorder="1" applyAlignment="1">
      <alignment horizontal="center" vertical="center"/>
    </xf>
    <xf numFmtId="164" fontId="0" fillId="0" borderId="2" xfId="0" applyNumberFormat="1" applyBorder="1" applyAlignment="1">
      <alignment vertical="center"/>
    </xf>
    <xf numFmtId="3" fontId="0" fillId="0" borderId="3" xfId="0" applyNumberFormat="1" applyBorder="1" applyAlignment="1">
      <alignment vertical="center"/>
    </xf>
    <xf numFmtId="3" fontId="0" fillId="0" borderId="4" xfId="0" applyNumberFormat="1" applyBorder="1" applyAlignment="1">
      <alignment vertical="center"/>
    </xf>
    <xf numFmtId="164" fontId="0" fillId="0" borderId="14" xfId="0" applyNumberFormat="1" applyBorder="1" applyAlignment="1">
      <alignment vertical="center"/>
    </xf>
    <xf numFmtId="3" fontId="0" fillId="0" borderId="15" xfId="0" applyNumberFormat="1" applyBorder="1" applyAlignment="1">
      <alignment vertical="center"/>
    </xf>
    <xf numFmtId="3" fontId="0" fillId="0" borderId="22" xfId="0" applyNumberFormat="1" applyBorder="1" applyAlignment="1">
      <alignment vertical="center"/>
    </xf>
    <xf numFmtId="164" fontId="0" fillId="0" borderId="40" xfId="0" applyNumberFormat="1" applyBorder="1" applyAlignment="1">
      <alignment vertical="center"/>
    </xf>
    <xf numFmtId="3" fontId="0" fillId="0" borderId="24" xfId="0" applyNumberFormat="1" applyBorder="1" applyAlignment="1">
      <alignment vertical="center"/>
    </xf>
    <xf numFmtId="3" fontId="0" fillId="0" borderId="25" xfId="0" applyNumberFormat="1" applyBorder="1" applyAlignment="1">
      <alignment vertical="center"/>
    </xf>
    <xf numFmtId="164" fontId="0" fillId="0" borderId="41" xfId="0" applyNumberFormat="1" applyBorder="1" applyAlignment="1">
      <alignment vertical="center"/>
    </xf>
    <xf numFmtId="3" fontId="0" fillId="0" borderId="82" xfId="0" applyNumberFormat="1" applyBorder="1" applyAlignment="1">
      <alignment vertical="center"/>
    </xf>
    <xf numFmtId="3" fontId="0" fillId="0" borderId="48" xfId="0" applyNumberFormat="1" applyBorder="1" applyAlignment="1">
      <alignment vertical="center"/>
    </xf>
    <xf numFmtId="0" fontId="8" fillId="0" borderId="41" xfId="0" applyFont="1" applyBorder="1" applyAlignment="1">
      <alignment horizontal="center" vertical="center" wrapText="1"/>
    </xf>
    <xf numFmtId="0" fontId="8" fillId="0" borderId="82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3" fontId="0" fillId="0" borderId="12" xfId="0" applyNumberFormat="1" applyBorder="1" applyAlignment="1">
      <alignment vertical="center"/>
    </xf>
    <xf numFmtId="164" fontId="0" fillId="0" borderId="74" xfId="0" applyNumberFormat="1" applyBorder="1" applyAlignment="1">
      <alignment vertical="center"/>
    </xf>
    <xf numFmtId="3" fontId="0" fillId="0" borderId="76" xfId="0" applyNumberFormat="1" applyBorder="1" applyAlignment="1">
      <alignment vertical="center"/>
    </xf>
    <xf numFmtId="3" fontId="0" fillId="0" borderId="42" xfId="0" applyNumberFormat="1" applyBorder="1" applyAlignment="1">
      <alignment vertical="center"/>
    </xf>
    <xf numFmtId="165" fontId="0" fillId="0" borderId="10" xfId="0" applyNumberFormat="1" applyBorder="1" applyAlignment="1">
      <alignment vertical="center"/>
    </xf>
    <xf numFmtId="3" fontId="0" fillId="0" borderId="11" xfId="0" applyNumberFormat="1" applyBorder="1" applyAlignment="1">
      <alignment vertical="center"/>
    </xf>
    <xf numFmtId="165" fontId="0" fillId="0" borderId="14" xfId="0" applyNumberFormat="1" applyBorder="1" applyAlignment="1">
      <alignment vertical="center"/>
    </xf>
    <xf numFmtId="165" fontId="0" fillId="0" borderId="74" xfId="0" applyNumberFormat="1" applyBorder="1" applyAlignment="1">
      <alignment vertical="center"/>
    </xf>
    <xf numFmtId="164" fontId="0" fillId="0" borderId="10" xfId="0" applyNumberFormat="1" applyBorder="1" applyAlignment="1">
      <alignment vertical="center"/>
    </xf>
    <xf numFmtId="3" fontId="0" fillId="0" borderId="0" xfId="0" applyNumberFormat="1" applyFill="1" applyAlignment="1">
      <alignment vertical="center"/>
    </xf>
    <xf numFmtId="164" fontId="0" fillId="5" borderId="41" xfId="0" applyNumberFormat="1" applyFill="1" applyBorder="1" applyAlignment="1">
      <alignment vertical="center"/>
    </xf>
    <xf numFmtId="3" fontId="0" fillId="5" borderId="82" xfId="0" applyNumberFormat="1" applyFill="1" applyBorder="1" applyAlignment="1">
      <alignment vertical="center"/>
    </xf>
    <xf numFmtId="3" fontId="0" fillId="5" borderId="42" xfId="0" applyNumberFormat="1" applyFill="1" applyBorder="1" applyAlignment="1">
      <alignment vertical="center"/>
    </xf>
    <xf numFmtId="3" fontId="8" fillId="0" borderId="29" xfId="0" applyNumberFormat="1" applyFont="1" applyFill="1" applyBorder="1" applyAlignment="1">
      <alignment vertical="center"/>
    </xf>
    <xf numFmtId="3" fontId="8" fillId="0" borderId="87" xfId="0" applyNumberFormat="1" applyFont="1" applyFill="1" applyBorder="1" applyAlignment="1">
      <alignment vertical="center"/>
    </xf>
    <xf numFmtId="166" fontId="8" fillId="0" borderId="10" xfId="0" applyNumberFormat="1" applyFont="1" applyBorder="1" applyAlignment="1">
      <alignment vertical="center"/>
    </xf>
    <xf numFmtId="164" fontId="8" fillId="0" borderId="41" xfId="0" applyNumberFormat="1" applyFont="1" applyBorder="1" applyAlignment="1">
      <alignment vertical="center"/>
    </xf>
    <xf numFmtId="3" fontId="8" fillId="0" borderId="44" xfId="0" applyNumberFormat="1" applyFont="1" applyFill="1" applyBorder="1" applyAlignment="1">
      <alignment vertical="center"/>
    </xf>
    <xf numFmtId="3" fontId="8" fillId="0" borderId="48" xfId="0" applyNumberFormat="1" applyFont="1" applyFill="1" applyBorder="1" applyAlignment="1">
      <alignment vertical="center"/>
    </xf>
    <xf numFmtId="0" fontId="0" fillId="0" borderId="41" xfId="0" applyBorder="1" applyAlignment="1">
      <alignment horizontal="center" vertical="center" wrapText="1"/>
    </xf>
    <xf numFmtId="0" fontId="0" fillId="0" borderId="82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164" fontId="4" fillId="0" borderId="2" xfId="0" applyNumberFormat="1" applyFont="1" applyBorder="1" applyAlignment="1">
      <alignment vertical="center"/>
    </xf>
    <xf numFmtId="3" fontId="4" fillId="0" borderId="3" xfId="0" applyNumberFormat="1" applyFont="1" applyBorder="1" applyAlignment="1">
      <alignment vertical="center"/>
    </xf>
    <xf numFmtId="3" fontId="4" fillId="0" borderId="4" xfId="0" applyNumberFormat="1" applyFont="1" applyBorder="1" applyAlignment="1">
      <alignment vertical="center"/>
    </xf>
    <xf numFmtId="164" fontId="4" fillId="0" borderId="14" xfId="0" applyNumberFormat="1" applyFont="1" applyBorder="1" applyAlignment="1">
      <alignment vertical="center"/>
    </xf>
    <xf numFmtId="164" fontId="4" fillId="0" borderId="88" xfId="0" applyNumberFormat="1" applyFont="1" applyBorder="1" applyAlignment="1">
      <alignment vertical="center"/>
    </xf>
    <xf numFmtId="3" fontId="4" fillId="0" borderId="89" xfId="0" applyNumberFormat="1" applyFont="1" applyBorder="1" applyAlignment="1">
      <alignment vertical="center"/>
    </xf>
    <xf numFmtId="164" fontId="4" fillId="0" borderId="41" xfId="0" applyNumberFormat="1" applyFont="1" applyBorder="1" applyAlignment="1">
      <alignment vertical="center"/>
    </xf>
    <xf numFmtId="3" fontId="4" fillId="0" borderId="82" xfId="0" applyNumberFormat="1" applyFont="1" applyBorder="1" applyAlignment="1">
      <alignment vertical="center"/>
    </xf>
    <xf numFmtId="3" fontId="4" fillId="0" borderId="42" xfId="0" applyNumberFormat="1" applyFont="1" applyBorder="1" applyAlignment="1">
      <alignment vertical="center"/>
    </xf>
    <xf numFmtId="164" fontId="4" fillId="0" borderId="10" xfId="0" applyNumberFormat="1" applyFont="1" applyBorder="1" applyAlignment="1">
      <alignment vertical="center"/>
    </xf>
    <xf numFmtId="164" fontId="4" fillId="5" borderId="41" xfId="0" applyNumberFormat="1" applyFont="1" applyFill="1" applyBorder="1" applyAlignment="1">
      <alignment vertical="center"/>
    </xf>
    <xf numFmtId="3" fontId="4" fillId="5" borderId="82" xfId="0" applyNumberFormat="1" applyFont="1" applyFill="1" applyBorder="1" applyAlignment="1">
      <alignment vertical="center"/>
    </xf>
    <xf numFmtId="0" fontId="4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164" fontId="8" fillId="0" borderId="0" xfId="0" applyNumberFormat="1" applyFont="1" applyFill="1" applyAlignment="1">
      <alignment vertical="center"/>
    </xf>
    <xf numFmtId="1" fontId="0" fillId="0" borderId="0" xfId="0" applyNumberFormat="1" applyAlignment="1">
      <alignment vertical="center"/>
    </xf>
    <xf numFmtId="1" fontId="13" fillId="0" borderId="0" xfId="0" applyNumberFormat="1" applyFont="1" applyAlignment="1">
      <alignment vertical="center"/>
    </xf>
    <xf numFmtId="164" fontId="4" fillId="0" borderId="0" xfId="0" applyNumberFormat="1" applyFont="1" applyBorder="1" applyAlignment="1">
      <alignment horizontal="center" vertical="center"/>
    </xf>
    <xf numFmtId="164" fontId="4" fillId="0" borderId="0" xfId="0" applyNumberFormat="1" applyFont="1"/>
    <xf numFmtId="3" fontId="4" fillId="0" borderId="0" xfId="0" applyNumberFormat="1" applyFont="1"/>
    <xf numFmtId="0" fontId="0" fillId="0" borderId="0" xfId="0" applyAlignment="1">
      <alignment horizontal="center" vertical="center"/>
    </xf>
    <xf numFmtId="166" fontId="4" fillId="0" borderId="0" xfId="0" applyNumberFormat="1" applyFont="1" applyAlignment="1">
      <alignment vertical="center"/>
    </xf>
    <xf numFmtId="166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3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3" fontId="4" fillId="0" borderId="19" xfId="0" applyNumberFormat="1" applyFont="1" applyFill="1" applyBorder="1" applyAlignment="1">
      <alignment vertical="center"/>
    </xf>
    <xf numFmtId="3" fontId="4" fillId="0" borderId="81" xfId="0" applyNumberFormat="1" applyFont="1" applyBorder="1" applyAlignment="1">
      <alignment horizontal="center" vertical="center"/>
    </xf>
    <xf numFmtId="3" fontId="0" fillId="0" borderId="73" xfId="0" applyNumberFormat="1" applyBorder="1" applyAlignment="1">
      <alignment vertical="center"/>
    </xf>
    <xf numFmtId="164" fontId="4" fillId="0" borderId="0" xfId="0" applyNumberFormat="1" applyFont="1" applyFill="1" applyAlignment="1">
      <alignment vertical="center"/>
    </xf>
    <xf numFmtId="3" fontId="4" fillId="0" borderId="0" xfId="0" applyNumberFormat="1" applyFont="1" applyFill="1" applyAlignment="1">
      <alignment vertical="center"/>
    </xf>
    <xf numFmtId="2" fontId="4" fillId="0" borderId="58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horizontal="center" vertical="center" wrapText="1"/>
    </xf>
    <xf numFmtId="3" fontId="18" fillId="0" borderId="0" xfId="0" applyNumberFormat="1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3" fontId="0" fillId="0" borderId="0" xfId="0" applyNumberFormat="1" applyFill="1" applyBorder="1" applyAlignment="1">
      <alignment vertical="center"/>
    </xf>
    <xf numFmtId="0" fontId="1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3" fillId="0" borderId="39" xfId="0" applyFont="1" applyBorder="1" applyAlignment="1">
      <alignment vertical="center"/>
    </xf>
    <xf numFmtId="0" fontId="9" fillId="0" borderId="56" xfId="0" applyFont="1" applyBorder="1" applyAlignment="1">
      <alignment vertical="center"/>
    </xf>
    <xf numFmtId="0" fontId="13" fillId="0" borderId="56" xfId="0" applyFont="1" applyBorder="1" applyAlignment="1">
      <alignment vertical="center"/>
    </xf>
    <xf numFmtId="0" fontId="13" fillId="0" borderId="61" xfId="0" applyFont="1" applyBorder="1" applyAlignment="1">
      <alignment vertical="center"/>
    </xf>
    <xf numFmtId="0" fontId="13" fillId="0" borderId="46" xfId="0" applyFont="1" applyBorder="1" applyAlignment="1">
      <alignment vertical="center"/>
    </xf>
    <xf numFmtId="0" fontId="4" fillId="0" borderId="56" xfId="0" applyFont="1" applyBorder="1" applyAlignment="1">
      <alignment vertical="center"/>
    </xf>
    <xf numFmtId="0" fontId="13" fillId="0" borderId="63" xfId="0" applyFont="1" applyBorder="1" applyAlignment="1">
      <alignment vertical="center"/>
    </xf>
    <xf numFmtId="0" fontId="13" fillId="0" borderId="80" xfId="0" applyFont="1" applyBorder="1" applyAlignment="1">
      <alignment vertical="center"/>
    </xf>
    <xf numFmtId="1" fontId="4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3" fontId="13" fillId="0" borderId="0" xfId="0" applyNumberFormat="1" applyFont="1" applyAlignment="1">
      <alignment vertical="center"/>
    </xf>
    <xf numFmtId="3" fontId="16" fillId="0" borderId="0" xfId="0" applyNumberFormat="1" applyFont="1" applyAlignment="1">
      <alignment vertical="center"/>
    </xf>
    <xf numFmtId="3" fontId="8" fillId="0" borderId="0" xfId="0" applyNumberFormat="1" applyFont="1" applyFill="1" applyAlignment="1">
      <alignment vertical="center"/>
    </xf>
    <xf numFmtId="166" fontId="0" fillId="0" borderId="0" xfId="0" applyNumberFormat="1" applyFill="1" applyAlignment="1">
      <alignment vertical="center"/>
    </xf>
    <xf numFmtId="166" fontId="16" fillId="0" borderId="0" xfId="0" applyNumberFormat="1" applyFont="1" applyFill="1" applyAlignment="1">
      <alignment vertical="center"/>
    </xf>
    <xf numFmtId="3" fontId="16" fillId="0" borderId="0" xfId="0" applyNumberFormat="1" applyFont="1" applyFill="1" applyAlignment="1">
      <alignment vertical="center"/>
    </xf>
    <xf numFmtId="3" fontId="0" fillId="0" borderId="0" xfId="0" applyNumberFormat="1" applyAlignment="1">
      <alignment horizontal="center" vertical="center"/>
    </xf>
    <xf numFmtId="0" fontId="13" fillId="0" borderId="62" xfId="0" applyFont="1" applyBorder="1" applyAlignment="1">
      <alignment vertical="center"/>
    </xf>
    <xf numFmtId="0" fontId="13" fillId="0" borderId="13" xfId="0" applyFont="1" applyBorder="1" applyAlignment="1">
      <alignment vertical="center"/>
    </xf>
    <xf numFmtId="0" fontId="13" fillId="0" borderId="45" xfId="0" applyFont="1" applyBorder="1" applyAlignment="1">
      <alignment vertical="center"/>
    </xf>
    <xf numFmtId="0" fontId="8" fillId="0" borderId="62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8" fillId="0" borderId="46" xfId="0" applyFont="1" applyBorder="1" applyAlignment="1">
      <alignment vertical="center"/>
    </xf>
    <xf numFmtId="164" fontId="0" fillId="0" borderId="0" xfId="0" applyNumberFormat="1" applyAlignment="1">
      <alignment horizontal="center" vertical="center"/>
    </xf>
    <xf numFmtId="0" fontId="17" fillId="0" borderId="0" xfId="0" applyFont="1" applyAlignment="1">
      <alignment vertical="center"/>
    </xf>
    <xf numFmtId="3" fontId="17" fillId="0" borderId="0" xfId="0" applyNumberFormat="1" applyFont="1" applyAlignment="1">
      <alignment vertical="center"/>
    </xf>
    <xf numFmtId="3" fontId="8" fillId="0" borderId="0" xfId="0" applyNumberFormat="1" applyFont="1" applyAlignment="1">
      <alignment vertical="center"/>
    </xf>
    <xf numFmtId="166" fontId="0" fillId="0" borderId="0" xfId="0" applyNumberFormat="1" applyAlignment="1">
      <alignment vertical="center"/>
    </xf>
    <xf numFmtId="164" fontId="0" fillId="0" borderId="0" xfId="0" applyNumberFormat="1" applyBorder="1" applyAlignment="1">
      <alignment vertical="center"/>
    </xf>
    <xf numFmtId="3" fontId="0" fillId="0" borderId="0" xfId="0" applyNumberFormat="1" applyBorder="1" applyAlignment="1">
      <alignment vertical="center"/>
    </xf>
    <xf numFmtId="0" fontId="4" fillId="0" borderId="13" xfId="0" applyFont="1" applyBorder="1" applyAlignment="1">
      <alignment vertical="center" wrapText="1"/>
    </xf>
    <xf numFmtId="3" fontId="4" fillId="0" borderId="77" xfId="0" applyNumberFormat="1" applyFont="1" applyFill="1" applyBorder="1" applyAlignment="1">
      <alignment vertical="center"/>
    </xf>
    <xf numFmtId="3" fontId="4" fillId="0" borderId="88" xfId="0" applyNumberFormat="1" applyFont="1" applyFill="1" applyBorder="1" applyAlignment="1">
      <alignment vertical="center"/>
    </xf>
    <xf numFmtId="0" fontId="6" fillId="0" borderId="80" xfId="0" applyFont="1" applyBorder="1" applyAlignment="1">
      <alignment vertical="center"/>
    </xf>
    <xf numFmtId="3" fontId="19" fillId="0" borderId="0" xfId="0" applyNumberFormat="1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horizontal="right" vertical="center"/>
    </xf>
    <xf numFmtId="4" fontId="4" fillId="0" borderId="0" xfId="0" applyNumberFormat="1" applyFont="1" applyFill="1" applyBorder="1" applyAlignment="1">
      <alignment horizontal="right" vertical="center"/>
    </xf>
    <xf numFmtId="3" fontId="4" fillId="0" borderId="41" xfId="0" applyNumberFormat="1" applyFont="1" applyFill="1" applyBorder="1" applyAlignment="1">
      <alignment vertical="center"/>
    </xf>
    <xf numFmtId="3" fontId="4" fillId="0" borderId="17" xfId="0" applyNumberFormat="1" applyFont="1" applyFill="1" applyBorder="1" applyAlignment="1">
      <alignment vertical="center"/>
    </xf>
    <xf numFmtId="4" fontId="4" fillId="0" borderId="88" xfId="0" applyNumberFormat="1" applyFont="1" applyBorder="1" applyAlignment="1">
      <alignment vertical="center"/>
    </xf>
    <xf numFmtId="4" fontId="4" fillId="0" borderId="17" xfId="0" applyNumberFormat="1" applyFont="1" applyBorder="1" applyAlignment="1">
      <alignment vertical="center"/>
    </xf>
    <xf numFmtId="4" fontId="4" fillId="0" borderId="41" xfId="0" applyNumberFormat="1" applyFont="1" applyBorder="1" applyAlignment="1">
      <alignment vertical="center"/>
    </xf>
    <xf numFmtId="4" fontId="4" fillId="0" borderId="42" xfId="0" applyNumberFormat="1" applyFont="1" applyBorder="1" applyAlignment="1">
      <alignment vertical="center"/>
    </xf>
    <xf numFmtId="3" fontId="4" fillId="0" borderId="41" xfId="0" applyNumberFormat="1" applyFont="1" applyBorder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2" fillId="0" borderId="0" xfId="0" applyFont="1"/>
    <xf numFmtId="0" fontId="5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3" fontId="0" fillId="0" borderId="22" xfId="0" applyNumberFormat="1" applyBorder="1" applyAlignment="1">
      <alignment horizontal="right" vertical="center"/>
    </xf>
    <xf numFmtId="3" fontId="0" fillId="0" borderId="15" xfId="0" applyNumberFormat="1" applyBorder="1" applyAlignment="1">
      <alignment horizontal="right" vertical="center"/>
    </xf>
    <xf numFmtId="3" fontId="0" fillId="0" borderId="24" xfId="0" applyNumberFormat="1" applyBorder="1" applyAlignment="1">
      <alignment horizontal="right" vertical="center"/>
    </xf>
    <xf numFmtId="166" fontId="0" fillId="0" borderId="10" xfId="0" applyNumberFormat="1" applyBorder="1" applyAlignment="1">
      <alignment vertical="center"/>
    </xf>
    <xf numFmtId="166" fontId="0" fillId="0" borderId="14" xfId="0" applyNumberFormat="1" applyBorder="1" applyAlignment="1">
      <alignment vertical="center"/>
    </xf>
    <xf numFmtId="166" fontId="0" fillId="0" borderId="14" xfId="0" applyNumberFormat="1" applyBorder="1" applyAlignment="1">
      <alignment horizontal="center"/>
    </xf>
    <xf numFmtId="3" fontId="0" fillId="0" borderId="15" xfId="0" applyNumberFormat="1" applyBorder="1" applyAlignment="1">
      <alignment horizontal="center"/>
    </xf>
    <xf numFmtId="3" fontId="8" fillId="0" borderId="91" xfId="0" applyNumberFormat="1" applyFont="1" applyFill="1" applyBorder="1" applyAlignment="1">
      <alignment vertical="center"/>
    </xf>
    <xf numFmtId="166" fontId="22" fillId="0" borderId="0" xfId="0" applyNumberFormat="1" applyFont="1" applyAlignment="1">
      <alignment vertical="center"/>
    </xf>
    <xf numFmtId="3" fontId="0" fillId="0" borderId="80" xfId="0" applyNumberFormat="1" applyBorder="1" applyAlignment="1">
      <alignment vertical="center"/>
    </xf>
    <xf numFmtId="3" fontId="8" fillId="0" borderId="0" xfId="0" applyNumberFormat="1" applyFont="1" applyFill="1" applyBorder="1" applyAlignment="1">
      <alignment vertical="center"/>
    </xf>
    <xf numFmtId="3" fontId="8" fillId="0" borderId="15" xfId="0" applyNumberFormat="1" applyFont="1" applyFill="1" applyBorder="1" applyAlignment="1">
      <alignment vertical="center"/>
    </xf>
    <xf numFmtId="3" fontId="8" fillId="0" borderId="76" xfId="0" applyNumberFormat="1" applyFont="1" applyFill="1" applyBorder="1" applyAlignment="1">
      <alignment vertical="center"/>
    </xf>
    <xf numFmtId="166" fontId="0" fillId="0" borderId="41" xfId="0" applyNumberFormat="1" applyBorder="1" applyAlignment="1">
      <alignment vertical="center"/>
    </xf>
    <xf numFmtId="3" fontId="0" fillId="0" borderId="86" xfId="0" applyNumberFormat="1" applyBorder="1" applyAlignment="1">
      <alignment vertical="center"/>
    </xf>
    <xf numFmtId="166" fontId="8" fillId="0" borderId="29" xfId="0" applyNumberFormat="1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15" xfId="0" applyFont="1" applyBorder="1" applyAlignment="1">
      <alignment vertical="center" wrapText="1"/>
    </xf>
    <xf numFmtId="0" fontId="8" fillId="0" borderId="24" xfId="0" applyFont="1" applyBorder="1" applyAlignment="1">
      <alignment vertical="center" wrapText="1"/>
    </xf>
    <xf numFmtId="166" fontId="8" fillId="0" borderId="32" xfId="0" applyNumberFormat="1" applyFont="1" applyBorder="1" applyAlignment="1">
      <alignment vertical="center"/>
    </xf>
    <xf numFmtId="166" fontId="8" fillId="0" borderId="75" xfId="0" applyNumberFormat="1" applyFont="1" applyBorder="1" applyAlignment="1">
      <alignment vertical="center"/>
    </xf>
    <xf numFmtId="3" fontId="8" fillId="0" borderId="92" xfId="0" applyNumberFormat="1" applyFont="1" applyFill="1" applyBorder="1" applyAlignment="1">
      <alignment vertical="center"/>
    </xf>
    <xf numFmtId="3" fontId="8" fillId="0" borderId="78" xfId="0" applyNumberFormat="1" applyFont="1" applyFill="1" applyBorder="1" applyAlignment="1">
      <alignment vertical="center"/>
    </xf>
    <xf numFmtId="3" fontId="8" fillId="0" borderId="93" xfId="0" applyNumberFormat="1" applyFont="1" applyFill="1" applyBorder="1" applyAlignment="1">
      <alignment vertical="center"/>
    </xf>
    <xf numFmtId="3" fontId="8" fillId="0" borderId="81" xfId="0" applyNumberFormat="1" applyFont="1" applyFill="1" applyBorder="1" applyAlignment="1">
      <alignment vertical="center"/>
    </xf>
    <xf numFmtId="166" fontId="8" fillId="0" borderId="61" xfId="0" applyNumberFormat="1" applyFont="1" applyBorder="1" applyAlignment="1">
      <alignment vertical="center"/>
    </xf>
    <xf numFmtId="166" fontId="8" fillId="0" borderId="63" xfId="0" applyNumberFormat="1" applyFont="1" applyBorder="1" applyAlignment="1">
      <alignment vertical="center"/>
    </xf>
    <xf numFmtId="166" fontId="8" fillId="0" borderId="59" xfId="0" applyNumberFormat="1" applyFont="1" applyBorder="1" applyAlignment="1">
      <alignment vertical="center"/>
    </xf>
    <xf numFmtId="3" fontId="0" fillId="0" borderId="11" xfId="0" applyNumberFormat="1" applyBorder="1" applyAlignment="1">
      <alignment horizontal="right" vertical="center"/>
    </xf>
    <xf numFmtId="3" fontId="0" fillId="0" borderId="15" xfId="0" applyNumberFormat="1" applyBorder="1" applyAlignment="1">
      <alignment horizontal="right" vertical="center" wrapText="1"/>
    </xf>
    <xf numFmtId="3" fontId="0" fillId="0" borderId="25" xfId="0" applyNumberFormat="1" applyBorder="1" applyAlignment="1">
      <alignment horizontal="right" vertical="center"/>
    </xf>
    <xf numFmtId="3" fontId="0" fillId="0" borderId="77" xfId="0" applyNumberFormat="1" applyBorder="1" applyAlignment="1">
      <alignment vertical="center"/>
    </xf>
    <xf numFmtId="164" fontId="0" fillId="6" borderId="41" xfId="0" applyNumberFormat="1" applyFill="1" applyBorder="1" applyAlignment="1">
      <alignment vertical="center"/>
    </xf>
    <xf numFmtId="3" fontId="0" fillId="6" borderId="82" xfId="0" applyNumberFormat="1" applyFill="1" applyBorder="1" applyAlignment="1">
      <alignment vertical="center"/>
    </xf>
    <xf numFmtId="0" fontId="0" fillId="0" borderId="14" xfId="0" applyBorder="1" applyAlignment="1">
      <alignment vertical="center"/>
    </xf>
    <xf numFmtId="3" fontId="0" fillId="6" borderId="48" xfId="0" applyNumberFormat="1" applyFill="1" applyBorder="1" applyAlignment="1">
      <alignment vertical="center"/>
    </xf>
    <xf numFmtId="164" fontId="25" fillId="0" borderId="14" xfId="0" applyNumberFormat="1" applyFont="1" applyBorder="1" applyAlignment="1">
      <alignment vertical="center"/>
    </xf>
    <xf numFmtId="3" fontId="25" fillId="0" borderId="15" xfId="0" applyNumberFormat="1" applyFont="1" applyBorder="1" applyAlignment="1">
      <alignment vertical="center"/>
    </xf>
    <xf numFmtId="3" fontId="25" fillId="0" borderId="22" xfId="0" applyNumberFormat="1" applyFont="1" applyBorder="1" applyAlignment="1">
      <alignment vertical="center"/>
    </xf>
    <xf numFmtId="164" fontId="25" fillId="0" borderId="74" xfId="0" applyNumberFormat="1" applyFont="1" applyBorder="1" applyAlignment="1">
      <alignment vertical="center"/>
    </xf>
    <xf numFmtId="3" fontId="25" fillId="0" borderId="76" xfId="0" applyNumberFormat="1" applyFont="1" applyBorder="1" applyAlignment="1">
      <alignment vertical="center"/>
    </xf>
    <xf numFmtId="3" fontId="25" fillId="0" borderId="77" xfId="0" applyNumberFormat="1" applyFont="1" applyBorder="1" applyAlignment="1">
      <alignment vertical="center"/>
    </xf>
    <xf numFmtId="164" fontId="25" fillId="0" borderId="41" xfId="0" applyNumberFormat="1" applyFont="1" applyBorder="1" applyAlignment="1">
      <alignment vertical="center"/>
    </xf>
    <xf numFmtId="3" fontId="25" fillId="0" borderId="82" xfId="0" applyNumberFormat="1" applyFont="1" applyBorder="1" applyAlignment="1">
      <alignment vertical="center"/>
    </xf>
    <xf numFmtId="3" fontId="25" fillId="0" borderId="42" xfId="0" applyNumberFormat="1" applyFont="1" applyBorder="1" applyAlignment="1">
      <alignment vertical="center"/>
    </xf>
    <xf numFmtId="0" fontId="0" fillId="0" borderId="41" xfId="0" applyFont="1" applyBorder="1" applyAlignment="1">
      <alignment horizontal="center" vertical="center" wrapText="1"/>
    </xf>
    <xf numFmtId="0" fontId="0" fillId="0" borderId="82" xfId="0" applyFont="1" applyBorder="1" applyAlignment="1">
      <alignment horizontal="center" vertical="center" wrapText="1"/>
    </xf>
    <xf numFmtId="0" fontId="0" fillId="0" borderId="42" xfId="0" applyFont="1" applyBorder="1" applyAlignment="1">
      <alignment horizontal="center" vertical="center" wrapText="1"/>
    </xf>
    <xf numFmtId="164" fontId="25" fillId="0" borderId="80" xfId="0" applyNumberFormat="1" applyFont="1" applyBorder="1" applyAlignment="1">
      <alignment vertical="center"/>
    </xf>
    <xf numFmtId="3" fontId="25" fillId="0" borderId="80" xfId="0" applyNumberFormat="1" applyFont="1" applyBorder="1" applyAlignment="1">
      <alignment vertical="center"/>
    </xf>
    <xf numFmtId="164" fontId="25" fillId="6" borderId="41" xfId="0" applyNumberFormat="1" applyFont="1" applyFill="1" applyBorder="1" applyAlignment="1">
      <alignment vertical="center"/>
    </xf>
    <xf numFmtId="3" fontId="25" fillId="6" borderId="82" xfId="0" applyNumberFormat="1" applyFont="1" applyFill="1" applyBorder="1" applyAlignment="1">
      <alignment vertical="center"/>
    </xf>
    <xf numFmtId="3" fontId="3" fillId="0" borderId="96" xfId="0" applyNumberFormat="1" applyFont="1" applyFill="1" applyBorder="1" applyAlignment="1">
      <alignment horizontal="center" vertical="center" wrapText="1"/>
    </xf>
    <xf numFmtId="3" fontId="3" fillId="0" borderId="97" xfId="0" applyNumberFormat="1" applyFont="1" applyBorder="1" applyAlignment="1">
      <alignment vertical="center"/>
    </xf>
    <xf numFmtId="3" fontId="3" fillId="0" borderId="21" xfId="0" applyNumberFormat="1" applyFont="1" applyBorder="1" applyAlignment="1">
      <alignment vertical="center"/>
    </xf>
    <xf numFmtId="3" fontId="4" fillId="0" borderId="54" xfId="0" applyNumberFormat="1" applyFont="1" applyFill="1" applyBorder="1" applyAlignment="1">
      <alignment vertical="center"/>
    </xf>
    <xf numFmtId="3" fontId="4" fillId="0" borderId="57" xfId="0" applyNumberFormat="1" applyFont="1" applyFill="1" applyBorder="1" applyAlignment="1">
      <alignment vertical="center"/>
    </xf>
    <xf numFmtId="3" fontId="4" fillId="0" borderId="98" xfId="0" applyNumberFormat="1" applyFont="1" applyFill="1" applyBorder="1" applyAlignment="1">
      <alignment vertical="center"/>
    </xf>
    <xf numFmtId="3" fontId="4" fillId="0" borderId="8" xfId="1" applyNumberFormat="1" applyFont="1" applyBorder="1"/>
    <xf numFmtId="4" fontId="3" fillId="0" borderId="21" xfId="0" applyNumberFormat="1" applyFont="1" applyBorder="1" applyAlignment="1">
      <alignment vertical="center"/>
    </xf>
    <xf numFmtId="3" fontId="4" fillId="0" borderId="42" xfId="0" applyNumberFormat="1" applyFont="1" applyFill="1" applyBorder="1" applyAlignment="1">
      <alignment vertical="center"/>
    </xf>
    <xf numFmtId="4" fontId="4" fillId="0" borderId="40" xfId="0" applyNumberFormat="1" applyFont="1" applyBorder="1" applyAlignment="1">
      <alignment vertical="center"/>
    </xf>
    <xf numFmtId="0" fontId="26" fillId="0" borderId="0" xfId="0" applyFont="1" applyAlignment="1">
      <alignment vertical="center"/>
    </xf>
    <xf numFmtId="3" fontId="4" fillId="0" borderId="99" xfId="0" applyNumberFormat="1" applyFont="1" applyFill="1" applyBorder="1" applyAlignment="1">
      <alignment horizontal="right" vertical="center"/>
    </xf>
    <xf numFmtId="3" fontId="4" fillId="0" borderId="100" xfId="0" applyNumberFormat="1" applyFont="1" applyBorder="1" applyAlignment="1">
      <alignment vertical="center"/>
    </xf>
    <xf numFmtId="3" fontId="4" fillId="0" borderId="98" xfId="0" applyNumberFormat="1" applyFont="1" applyBorder="1" applyAlignment="1">
      <alignment vertical="center"/>
    </xf>
    <xf numFmtId="3" fontId="4" fillId="0" borderId="19" xfId="0" applyNumberFormat="1" applyFont="1" applyFill="1" applyBorder="1" applyAlignment="1">
      <alignment horizontal="right" vertical="center"/>
    </xf>
    <xf numFmtId="3" fontId="4" fillId="0" borderId="38" xfId="0" applyNumberFormat="1" applyFont="1" applyBorder="1" applyAlignment="1">
      <alignment vertical="center"/>
    </xf>
    <xf numFmtId="164" fontId="27" fillId="0" borderId="10" xfId="0" applyNumberFormat="1" applyFont="1" applyBorder="1" applyAlignment="1">
      <alignment horizontal="center" vertical="center"/>
    </xf>
    <xf numFmtId="3" fontId="27" fillId="0" borderId="11" xfId="0" applyNumberFormat="1" applyFont="1" applyBorder="1" applyAlignment="1">
      <alignment horizontal="center" vertical="center"/>
    </xf>
    <xf numFmtId="3" fontId="27" fillId="0" borderId="30" xfId="0" applyNumberFormat="1" applyFont="1" applyBorder="1" applyAlignment="1">
      <alignment horizontal="center" vertical="center"/>
    </xf>
    <xf numFmtId="3" fontId="27" fillId="0" borderId="10" xfId="0" applyNumberFormat="1" applyFont="1" applyBorder="1" applyAlignment="1">
      <alignment horizontal="center" vertical="center"/>
    </xf>
    <xf numFmtId="3" fontId="27" fillId="0" borderId="55" xfId="0" applyNumberFormat="1" applyFont="1" applyBorder="1" applyAlignment="1">
      <alignment horizontal="center" vertical="center" wrapText="1"/>
    </xf>
    <xf numFmtId="3" fontId="27" fillId="0" borderId="12" xfId="0" applyNumberFormat="1" applyFont="1" applyBorder="1" applyAlignment="1">
      <alignment horizontal="center" vertical="center"/>
    </xf>
    <xf numFmtId="164" fontId="27" fillId="0" borderId="43" xfId="0" applyNumberFormat="1" applyFont="1" applyBorder="1" applyAlignment="1">
      <alignment horizontal="center" vertical="center"/>
    </xf>
    <xf numFmtId="3" fontId="27" fillId="0" borderId="52" xfId="0" applyNumberFormat="1" applyFont="1" applyBorder="1" applyAlignment="1">
      <alignment horizontal="center" vertical="center"/>
    </xf>
    <xf numFmtId="3" fontId="27" fillId="0" borderId="53" xfId="0" applyNumberFormat="1" applyFont="1" applyBorder="1" applyAlignment="1">
      <alignment horizontal="center" vertical="center"/>
    </xf>
    <xf numFmtId="3" fontId="27" fillId="0" borderId="43" xfId="0" applyNumberFormat="1" applyFont="1" applyBorder="1" applyAlignment="1">
      <alignment horizontal="center" vertical="center"/>
    </xf>
    <xf numFmtId="3" fontId="27" fillId="0" borderId="58" xfId="0" applyNumberFormat="1" applyFont="1" applyBorder="1" applyAlignment="1">
      <alignment horizontal="center" vertical="center"/>
    </xf>
    <xf numFmtId="3" fontId="27" fillId="0" borderId="5" xfId="0" applyNumberFormat="1" applyFont="1" applyBorder="1" applyAlignment="1">
      <alignment horizontal="center" vertical="center"/>
    </xf>
    <xf numFmtId="3" fontId="4" fillId="0" borderId="30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164" fontId="25" fillId="0" borderId="10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25" fillId="0" borderId="30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9" xfId="0" applyNumberFormat="1" applyFont="1" applyBorder="1" applyAlignment="1">
      <alignment horizontal="center" vertical="center"/>
    </xf>
    <xf numFmtId="3" fontId="25" fillId="0" borderId="13" xfId="0" applyNumberFormat="1" applyFont="1" applyBorder="1" applyAlignment="1">
      <alignment horizontal="center" vertical="center"/>
    </xf>
    <xf numFmtId="164" fontId="25" fillId="0" borderId="88" xfId="0" applyNumberFormat="1" applyFont="1" applyBorder="1" applyAlignment="1">
      <alignment horizontal="center" vertical="center"/>
    </xf>
    <xf numFmtId="3" fontId="25" fillId="0" borderId="89" xfId="0" applyNumberFormat="1" applyFont="1" applyBorder="1" applyAlignment="1">
      <alignment horizontal="center" vertical="center"/>
    </xf>
    <xf numFmtId="3" fontId="25" fillId="0" borderId="90" xfId="0" applyNumberFormat="1" applyFont="1" applyBorder="1" applyAlignment="1">
      <alignment horizontal="center" vertical="center"/>
    </xf>
    <xf numFmtId="3" fontId="25" fillId="0" borderId="88" xfId="0" applyNumberFormat="1" applyFont="1" applyBorder="1" applyAlignment="1">
      <alignment horizontal="center" vertical="center"/>
    </xf>
    <xf numFmtId="3" fontId="25" fillId="0" borderId="17" xfId="0" applyNumberFormat="1" applyFont="1" applyBorder="1" applyAlignment="1">
      <alignment horizontal="center" vertical="center"/>
    </xf>
    <xf numFmtId="3" fontId="25" fillId="0" borderId="45" xfId="0" applyNumberFormat="1" applyFont="1" applyBorder="1" applyAlignment="1">
      <alignment horizontal="center" vertical="center"/>
    </xf>
    <xf numFmtId="164" fontId="25" fillId="0" borderId="6" xfId="0" applyNumberFormat="1" applyFont="1" applyBorder="1" applyAlignment="1">
      <alignment horizontal="center" vertical="center"/>
    </xf>
    <xf numFmtId="3" fontId="25" fillId="0" borderId="7" xfId="0" applyNumberFormat="1" applyFont="1" applyBorder="1" applyAlignment="1">
      <alignment horizontal="center" vertical="center"/>
    </xf>
    <xf numFmtId="3" fontId="25" fillId="0" borderId="35" xfId="0" applyNumberFormat="1" applyFont="1" applyBorder="1" applyAlignment="1">
      <alignment horizontal="center" vertical="center"/>
    </xf>
    <xf numFmtId="3" fontId="25" fillId="0" borderId="6" xfId="0" applyNumberFormat="1" applyFont="1" applyBorder="1" applyAlignment="1">
      <alignment horizontal="center" vertical="center"/>
    </xf>
    <xf numFmtId="3" fontId="25" fillId="0" borderId="8" xfId="0" applyNumberFormat="1" applyFont="1" applyBorder="1" applyAlignment="1">
      <alignment horizontal="center" vertical="center"/>
    </xf>
    <xf numFmtId="3" fontId="25" fillId="0" borderId="16" xfId="0" applyNumberFormat="1" applyFont="1" applyBorder="1" applyAlignment="1">
      <alignment horizontal="center" vertical="center"/>
    </xf>
    <xf numFmtId="164" fontId="4" fillId="0" borderId="63" xfId="0" applyNumberFormat="1" applyFont="1" applyBorder="1" applyAlignment="1">
      <alignment horizontal="center" vertical="center"/>
    </xf>
    <xf numFmtId="3" fontId="4" fillId="0" borderId="64" xfId="0" applyNumberFormat="1" applyFont="1" applyBorder="1" applyAlignment="1">
      <alignment horizontal="center" vertical="center" wrapText="1"/>
    </xf>
    <xf numFmtId="3" fontId="4" fillId="0" borderId="65" xfId="0" applyNumberFormat="1" applyFont="1" applyBorder="1" applyAlignment="1">
      <alignment horizontal="center" vertical="center" wrapText="1"/>
    </xf>
    <xf numFmtId="3" fontId="4" fillId="0" borderId="66" xfId="0" applyNumberFormat="1" applyFont="1" applyBorder="1" applyAlignment="1">
      <alignment horizontal="center" vertical="center" wrapText="1"/>
    </xf>
    <xf numFmtId="164" fontId="4" fillId="0" borderId="67" xfId="0" applyNumberFormat="1" applyFont="1" applyBorder="1" applyAlignment="1">
      <alignment horizontal="center" vertical="center"/>
    </xf>
    <xf numFmtId="164" fontId="4" fillId="0" borderId="14" xfId="0" applyNumberFormat="1" applyFont="1" applyBorder="1" applyAlignment="1">
      <alignment horizontal="center" vertical="center"/>
    </xf>
    <xf numFmtId="3" fontId="4" fillId="0" borderId="68" xfId="0" applyNumberFormat="1" applyFont="1" applyBorder="1" applyAlignment="1">
      <alignment horizontal="center" vertical="center" wrapText="1"/>
    </xf>
    <xf numFmtId="3" fontId="4" fillId="0" borderId="69" xfId="0" applyNumberFormat="1" applyFont="1" applyBorder="1" applyAlignment="1">
      <alignment horizontal="center" vertical="center" wrapText="1"/>
    </xf>
    <xf numFmtId="3" fontId="4" fillId="0" borderId="53" xfId="0" applyNumberFormat="1" applyFont="1" applyBorder="1" applyAlignment="1">
      <alignment horizontal="center" vertical="center"/>
    </xf>
    <xf numFmtId="3" fontId="4" fillId="0" borderId="70" xfId="0" applyNumberFormat="1" applyFont="1" applyBorder="1" applyAlignment="1">
      <alignment horizontal="center" vertical="center" wrapText="1"/>
    </xf>
    <xf numFmtId="3" fontId="4" fillId="0" borderId="71" xfId="0" applyNumberFormat="1" applyFont="1" applyBorder="1" applyAlignment="1">
      <alignment horizontal="center" vertical="center" wrapText="1"/>
    </xf>
    <xf numFmtId="3" fontId="4" fillId="0" borderId="8" xfId="0" applyNumberFormat="1" applyFont="1" applyBorder="1" applyAlignment="1">
      <alignment horizontal="center" vertical="center" wrapText="1"/>
    </xf>
    <xf numFmtId="164" fontId="25" fillId="0" borderId="63" xfId="0" applyNumberFormat="1" applyFont="1" applyBorder="1" applyAlignment="1">
      <alignment horizontal="center" vertical="center"/>
    </xf>
    <xf numFmtId="3" fontId="25" fillId="0" borderId="64" xfId="0" applyNumberFormat="1" applyFont="1" applyBorder="1" applyAlignment="1">
      <alignment horizontal="center" vertical="center" wrapText="1"/>
    </xf>
    <xf numFmtId="164" fontId="25" fillId="0" borderId="67" xfId="0" applyNumberFormat="1" applyFont="1" applyBorder="1" applyAlignment="1">
      <alignment horizontal="center" vertical="center"/>
    </xf>
    <xf numFmtId="164" fontId="25" fillId="0" borderId="14" xfId="0" applyNumberFormat="1" applyFont="1" applyBorder="1" applyAlignment="1">
      <alignment horizontal="center" vertical="center"/>
    </xf>
    <xf numFmtId="3" fontId="25" fillId="0" borderId="69" xfId="0" applyNumberFormat="1" applyFont="1" applyBorder="1" applyAlignment="1">
      <alignment horizontal="center" vertical="center" wrapText="1"/>
    </xf>
    <xf numFmtId="3" fontId="25" fillId="0" borderId="53" xfId="0" applyNumberFormat="1" applyFont="1" applyBorder="1" applyAlignment="1">
      <alignment horizontal="center" vertical="center"/>
    </xf>
    <xf numFmtId="3" fontId="25" fillId="0" borderId="29" xfId="0" applyNumberFormat="1" applyFont="1" applyBorder="1" applyAlignment="1">
      <alignment horizontal="center" vertical="center"/>
    </xf>
    <xf numFmtId="3" fontId="25" fillId="0" borderId="32" xfId="0" applyNumberFormat="1" applyFont="1" applyBorder="1" applyAlignment="1">
      <alignment horizontal="center" vertical="center"/>
    </xf>
    <xf numFmtId="3" fontId="25" fillId="0" borderId="15" xfId="0" applyNumberFormat="1" applyFont="1" applyBorder="1" applyAlignment="1">
      <alignment horizontal="center" vertical="center"/>
    </xf>
    <xf numFmtId="3" fontId="25" fillId="0" borderId="22" xfId="0" applyNumberFormat="1" applyFont="1" applyBorder="1" applyAlignment="1">
      <alignment horizontal="center" vertical="center"/>
    </xf>
    <xf numFmtId="164" fontId="25" fillId="0" borderId="74" xfId="0" applyNumberFormat="1" applyFont="1" applyBorder="1" applyAlignment="1">
      <alignment horizontal="center" vertical="center"/>
    </xf>
    <xf numFmtId="3" fontId="25" fillId="0" borderId="75" xfId="0" applyNumberFormat="1" applyFont="1" applyBorder="1" applyAlignment="1">
      <alignment horizontal="center" vertical="center"/>
    </xf>
    <xf numFmtId="3" fontId="25" fillId="0" borderId="76" xfId="0" applyNumberFormat="1" applyFont="1" applyBorder="1" applyAlignment="1">
      <alignment horizontal="center" vertical="center"/>
    </xf>
    <xf numFmtId="3" fontId="25" fillId="0" borderId="77" xfId="0" applyNumberFormat="1" applyFont="1" applyBorder="1" applyAlignment="1">
      <alignment horizontal="center" vertical="center"/>
    </xf>
    <xf numFmtId="3" fontId="25" fillId="0" borderId="58" xfId="0" applyNumberFormat="1" applyFont="1" applyBorder="1" applyAlignment="1">
      <alignment horizontal="center" vertical="center"/>
    </xf>
    <xf numFmtId="3" fontId="25" fillId="0" borderId="28" xfId="0" applyNumberFormat="1" applyFont="1" applyBorder="1" applyAlignment="1">
      <alignment horizontal="center" vertical="center"/>
    </xf>
    <xf numFmtId="164" fontId="25" fillId="0" borderId="54" xfId="0" applyNumberFormat="1" applyFont="1" applyBorder="1" applyAlignment="1">
      <alignment horizontal="center" vertical="center"/>
    </xf>
    <xf numFmtId="164" fontId="25" fillId="0" borderId="56" xfId="0" applyNumberFormat="1" applyFont="1" applyBorder="1" applyAlignment="1">
      <alignment horizontal="center" vertical="center"/>
    </xf>
    <xf numFmtId="3" fontId="25" fillId="0" borderId="14" xfId="0" applyNumberFormat="1" applyFont="1" applyBorder="1" applyAlignment="1">
      <alignment horizontal="center" vertical="center"/>
    </xf>
    <xf numFmtId="164" fontId="25" fillId="0" borderId="61" xfId="0" applyNumberFormat="1" applyFont="1" applyBorder="1" applyAlignment="1">
      <alignment horizontal="center" vertical="center"/>
    </xf>
    <xf numFmtId="164" fontId="25" fillId="0" borderId="57" xfId="0" applyNumberFormat="1" applyFont="1" applyBorder="1" applyAlignment="1">
      <alignment horizontal="center" vertical="center"/>
    </xf>
    <xf numFmtId="3" fontId="25" fillId="0" borderId="52" xfId="0" applyNumberFormat="1" applyFont="1" applyBorder="1" applyAlignment="1">
      <alignment horizontal="center" vertical="center"/>
    </xf>
    <xf numFmtId="4" fontId="4" fillId="0" borderId="6" xfId="0" applyNumberFormat="1" applyFont="1" applyFill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" fontId="3" fillId="0" borderId="41" xfId="0" applyNumberFormat="1" applyFont="1" applyFill="1" applyBorder="1" applyAlignment="1">
      <alignment horizontal="center" vertical="center"/>
    </xf>
    <xf numFmtId="1" fontId="3" fillId="0" borderId="42" xfId="0" applyNumberFormat="1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1" fontId="3" fillId="0" borderId="46" xfId="0" applyNumberFormat="1" applyFont="1" applyFill="1" applyBorder="1" applyAlignment="1">
      <alignment horizontal="center" vertical="center"/>
    </xf>
    <xf numFmtId="1" fontId="3" fillId="0" borderId="48" xfId="0" applyNumberFormat="1" applyFont="1" applyFill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164" fontId="4" fillId="0" borderId="50" xfId="0" applyNumberFormat="1" applyFont="1" applyBorder="1" applyAlignment="1">
      <alignment horizontal="center" vertical="center" wrapText="1"/>
    </xf>
    <xf numFmtId="164" fontId="4" fillId="0" borderId="52" xfId="0" applyNumberFormat="1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3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4" fillId="0" borderId="72" xfId="0" applyFont="1" applyBorder="1" applyAlignment="1">
      <alignment horizontal="center" vertical="center" wrapText="1"/>
    </xf>
    <xf numFmtId="0" fontId="4" fillId="0" borderId="58" xfId="0" applyFont="1" applyBorder="1" applyAlignment="1">
      <alignment horizontal="center" vertical="center" wrapText="1"/>
    </xf>
    <xf numFmtId="0" fontId="4" fillId="0" borderId="73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/>
    </xf>
    <xf numFmtId="0" fontId="6" fillId="0" borderId="47" xfId="0" applyFont="1" applyBorder="1" applyAlignment="1">
      <alignment horizontal="center"/>
    </xf>
    <xf numFmtId="0" fontId="6" fillId="0" borderId="48" xfId="0" applyFont="1" applyBorder="1" applyAlignment="1">
      <alignment horizontal="center"/>
    </xf>
    <xf numFmtId="0" fontId="0" fillId="0" borderId="46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8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8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72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0" xfId="0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0" fillId="0" borderId="24" xfId="0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25" xfId="0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79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4" fillId="4" borderId="83" xfId="0" applyFont="1" applyFill="1" applyBorder="1" applyAlignment="1">
      <alignment horizontal="center" vertical="center"/>
    </xf>
    <xf numFmtId="0" fontId="14" fillId="4" borderId="84" xfId="0" applyFont="1" applyFill="1" applyBorder="1" applyAlignment="1">
      <alignment horizontal="center" vertical="center"/>
    </xf>
    <xf numFmtId="0" fontId="14" fillId="4" borderId="85" xfId="0" applyFont="1" applyFill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94" xfId="0" applyBorder="1" applyAlignment="1">
      <alignment horizontal="center" vertical="center"/>
    </xf>
    <xf numFmtId="0" fontId="0" fillId="0" borderId="95" xfId="0" applyBorder="1" applyAlignment="1">
      <alignment horizontal="center" vertical="center"/>
    </xf>
    <xf numFmtId="0" fontId="0" fillId="6" borderId="46" xfId="0" applyFill="1" applyBorder="1" applyAlignment="1">
      <alignment horizontal="center" vertical="center"/>
    </xf>
    <xf numFmtId="0" fontId="0" fillId="6" borderId="47" xfId="0" applyFill="1" applyBorder="1" applyAlignment="1">
      <alignment horizontal="center" vertical="center"/>
    </xf>
    <xf numFmtId="0" fontId="0" fillId="6" borderId="48" xfId="0" applyFill="1" applyBorder="1" applyAlignment="1">
      <alignment horizontal="center" vertical="center"/>
    </xf>
    <xf numFmtId="0" fontId="8" fillId="5" borderId="1" xfId="0" applyFont="1" applyFill="1" applyBorder="1" applyAlignment="1">
      <alignment vertical="center"/>
    </xf>
    <xf numFmtId="0" fontId="0" fillId="5" borderId="18" xfId="0" applyFont="1" applyFill="1" applyBorder="1" applyAlignment="1">
      <alignment vertical="center"/>
    </xf>
    <xf numFmtId="0" fontId="8" fillId="6" borderId="83" xfId="0" applyFont="1" applyFill="1" applyBorder="1" applyAlignment="1">
      <alignment horizontal="center" vertical="center"/>
    </xf>
    <xf numFmtId="0" fontId="8" fillId="6" borderId="84" xfId="0" applyFont="1" applyFill="1" applyBorder="1" applyAlignment="1">
      <alignment horizontal="center" vertical="center"/>
    </xf>
    <xf numFmtId="0" fontId="8" fillId="6" borderId="85" xfId="0" applyFont="1" applyFill="1" applyBorder="1" applyAlignment="1">
      <alignment horizontal="center" vertical="center"/>
    </xf>
    <xf numFmtId="0" fontId="8" fillId="0" borderId="83" xfId="0" applyFont="1" applyBorder="1" applyAlignment="1">
      <alignment horizontal="center" vertical="center"/>
    </xf>
    <xf numFmtId="0" fontId="8" fillId="0" borderId="84" xfId="0" applyFont="1" applyBorder="1" applyAlignment="1">
      <alignment horizontal="center" vertical="center"/>
    </xf>
    <xf numFmtId="0" fontId="8" fillId="0" borderId="85" xfId="0" applyFont="1" applyBorder="1" applyAlignment="1">
      <alignment horizontal="center" vertical="center"/>
    </xf>
    <xf numFmtId="0" fontId="14" fillId="4" borderId="46" xfId="0" applyFont="1" applyFill="1" applyBorder="1" applyAlignment="1">
      <alignment horizontal="center" vertical="center"/>
    </xf>
    <xf numFmtId="0" fontId="14" fillId="4" borderId="47" xfId="0" applyFont="1" applyFill="1" applyBorder="1" applyAlignment="1">
      <alignment horizontal="center" vertical="center"/>
    </xf>
    <xf numFmtId="0" fontId="14" fillId="4" borderId="48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79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25" fillId="0" borderId="46" xfId="0" applyFont="1" applyBorder="1" applyAlignment="1">
      <alignment horizontal="center" vertical="center"/>
    </xf>
    <xf numFmtId="0" fontId="25" fillId="0" borderId="47" xfId="0" applyFont="1" applyBorder="1" applyAlignment="1">
      <alignment horizontal="center" vertical="center"/>
    </xf>
    <xf numFmtId="0" fontId="25" fillId="0" borderId="48" xfId="0" applyFont="1" applyBorder="1" applyAlignment="1">
      <alignment horizontal="center" vertical="center"/>
    </xf>
    <xf numFmtId="0" fontId="24" fillId="6" borderId="46" xfId="0" applyFont="1" applyFill="1" applyBorder="1" applyAlignment="1">
      <alignment horizontal="center" vertical="center"/>
    </xf>
    <xf numFmtId="0" fontId="24" fillId="6" borderId="47" xfId="0" applyFont="1" applyFill="1" applyBorder="1" applyAlignment="1">
      <alignment horizontal="center" vertical="center"/>
    </xf>
    <xf numFmtId="0" fontId="24" fillId="6" borderId="48" xfId="0" applyFont="1" applyFill="1" applyBorder="1" applyAlignment="1">
      <alignment horizontal="center" vertical="center"/>
    </xf>
    <xf numFmtId="0" fontId="8" fillId="5" borderId="83" xfId="0" applyFont="1" applyFill="1" applyBorder="1" applyAlignment="1">
      <alignment horizontal="center" vertical="center"/>
    </xf>
    <xf numFmtId="0" fontId="8" fillId="5" borderId="84" xfId="0" applyFont="1" applyFill="1" applyBorder="1" applyAlignment="1">
      <alignment horizontal="center" vertical="center"/>
    </xf>
    <xf numFmtId="0" fontId="8" fillId="5" borderId="85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2">
    <cellStyle name="Normální" xfId="0" builtinId="0"/>
    <cellStyle name="Normální 3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2:M25"/>
  <sheetViews>
    <sheetView zoomScaleNormal="100" workbookViewId="0">
      <selection activeCell="M15" sqref="M15"/>
    </sheetView>
  </sheetViews>
  <sheetFormatPr defaultColWidth="9.109375" defaultRowHeight="14.4" x14ac:dyDescent="0.3"/>
  <cols>
    <col min="1" max="1" width="14.88671875" style="1" customWidth="1"/>
    <col min="2" max="2" width="8.44140625" style="1" customWidth="1"/>
    <col min="3" max="3" width="12" style="1" customWidth="1"/>
    <col min="4" max="4" width="9.5546875" style="1" customWidth="1"/>
    <col min="5" max="5" width="9.33203125" style="1" customWidth="1"/>
    <col min="6" max="6" width="10.5546875" style="1" customWidth="1"/>
    <col min="7" max="7" width="11.109375" style="1" customWidth="1"/>
    <col min="8" max="8" width="9.109375" style="1"/>
    <col min="9" max="9" width="13.5546875" style="1" customWidth="1"/>
    <col min="10" max="10" width="10.109375" style="1" customWidth="1"/>
    <col min="11" max="11" width="9.109375" style="1"/>
    <col min="12" max="12" width="10.5546875" style="1" customWidth="1"/>
    <col min="13" max="13" width="12.44140625" style="1" customWidth="1"/>
    <col min="14" max="16384" width="9.109375" style="1"/>
  </cols>
  <sheetData>
    <row r="2" spans="1:13" ht="15" x14ac:dyDescent="0.3">
      <c r="A2" s="3" t="s">
        <v>0</v>
      </c>
      <c r="C2" s="5"/>
      <c r="E2" s="4"/>
    </row>
    <row r="3" spans="1:13" x14ac:dyDescent="0.3">
      <c r="A3" s="200" t="s">
        <v>1</v>
      </c>
      <c r="B3" s="200"/>
      <c r="C3" s="200"/>
      <c r="D3" s="200"/>
      <c r="E3" s="200"/>
      <c r="F3" s="200"/>
      <c r="G3" s="200"/>
      <c r="H3" s="200"/>
    </row>
    <row r="4" spans="1:13" ht="15" thickBot="1" x14ac:dyDescent="0.35"/>
    <row r="5" spans="1:13" ht="15" customHeight="1" x14ac:dyDescent="0.3">
      <c r="A5" s="392" t="s">
        <v>2</v>
      </c>
      <c r="B5" s="394">
        <v>2016</v>
      </c>
      <c r="C5" s="395"/>
      <c r="D5" s="395"/>
      <c r="E5" s="395"/>
      <c r="F5" s="395"/>
      <c r="G5" s="396"/>
      <c r="H5" s="394">
        <v>2017</v>
      </c>
      <c r="I5" s="395"/>
      <c r="J5" s="395"/>
      <c r="K5" s="395"/>
      <c r="L5" s="395"/>
      <c r="M5" s="396"/>
    </row>
    <row r="6" spans="1:13" ht="21" thickBot="1" x14ac:dyDescent="0.35">
      <c r="A6" s="393"/>
      <c r="B6" s="7" t="s">
        <v>87</v>
      </c>
      <c r="C6" s="8" t="s">
        <v>3</v>
      </c>
      <c r="D6" s="8" t="s">
        <v>4</v>
      </c>
      <c r="E6" s="8" t="s">
        <v>5</v>
      </c>
      <c r="F6" s="8" t="s">
        <v>6</v>
      </c>
      <c r="G6" s="9" t="s">
        <v>7</v>
      </c>
      <c r="H6" s="7" t="s">
        <v>114</v>
      </c>
      <c r="I6" s="8" t="s">
        <v>3</v>
      </c>
      <c r="J6" s="8" t="s">
        <v>4</v>
      </c>
      <c r="K6" s="8" t="s">
        <v>5</v>
      </c>
      <c r="L6" s="8" t="s">
        <v>6</v>
      </c>
      <c r="M6" s="9" t="s">
        <v>7</v>
      </c>
    </row>
    <row r="7" spans="1:13" ht="15" thickTop="1" x14ac:dyDescent="0.3">
      <c r="A7" s="10" t="s">
        <v>8</v>
      </c>
      <c r="B7" s="11">
        <v>467</v>
      </c>
      <c r="C7" s="12">
        <f>37970000+3213000</f>
        <v>41183000</v>
      </c>
      <c r="D7" s="13">
        <v>6094705.25</v>
      </c>
      <c r="E7" s="12">
        <v>2627000</v>
      </c>
      <c r="F7" s="12">
        <v>1949793</v>
      </c>
      <c r="G7" s="14">
        <f>C7+D7+E7+F7</f>
        <v>51854498.25</v>
      </c>
      <c r="H7" s="11">
        <v>471</v>
      </c>
      <c r="I7" s="12">
        <v>60992617</v>
      </c>
      <c r="J7" s="13">
        <v>6424400</v>
      </c>
      <c r="K7" s="12">
        <v>116000</v>
      </c>
      <c r="L7" s="12">
        <v>2865995</v>
      </c>
      <c r="M7" s="14">
        <f>I7+J7+K7+L7</f>
        <v>70399012</v>
      </c>
    </row>
    <row r="8" spans="1:13" x14ac:dyDescent="0.3">
      <c r="A8" s="15" t="s">
        <v>86</v>
      </c>
      <c r="B8" s="16">
        <v>10314</v>
      </c>
      <c r="C8" s="17">
        <v>533838000</v>
      </c>
      <c r="D8" s="18">
        <v>163076393</v>
      </c>
      <c r="E8" s="17">
        <v>31881585</v>
      </c>
      <c r="F8" s="17">
        <v>21508156</v>
      </c>
      <c r="G8" s="14">
        <f>C8+D8+E8+F8</f>
        <v>750304134</v>
      </c>
      <c r="H8" s="16">
        <v>10098</v>
      </c>
      <c r="I8" s="17">
        <v>596349140</v>
      </c>
      <c r="J8" s="18">
        <v>177737398</v>
      </c>
      <c r="K8" s="17">
        <v>34716588</v>
      </c>
      <c r="L8" s="17">
        <v>31343682</v>
      </c>
      <c r="M8" s="14">
        <f t="shared" ref="M8:M14" si="0">SUM(I8:L8)</f>
        <v>840146808</v>
      </c>
    </row>
    <row r="9" spans="1:13" x14ac:dyDescent="0.3">
      <c r="A9" s="19" t="s">
        <v>11</v>
      </c>
      <c r="B9" s="16">
        <v>200</v>
      </c>
      <c r="C9" s="17">
        <v>59030000</v>
      </c>
      <c r="D9" s="18">
        <v>19889000</v>
      </c>
      <c r="E9" s="17">
        <v>327185</v>
      </c>
      <c r="F9" s="17">
        <v>1077001</v>
      </c>
      <c r="G9" s="14">
        <f t="shared" ref="G9:G14" si="1">C9+D9+E9+F9</f>
        <v>80323186</v>
      </c>
      <c r="H9" s="16">
        <v>197</v>
      </c>
      <c r="I9" s="17">
        <v>62998921</v>
      </c>
      <c r="J9" s="18">
        <v>20366800</v>
      </c>
      <c r="K9" s="17">
        <v>2150000</v>
      </c>
      <c r="L9" s="17">
        <v>1796713</v>
      </c>
      <c r="M9" s="14">
        <f t="shared" si="0"/>
        <v>87312434</v>
      </c>
    </row>
    <row r="10" spans="1:13" x14ac:dyDescent="0.3">
      <c r="A10" s="19" t="s">
        <v>12</v>
      </c>
      <c r="B10" s="16">
        <v>998</v>
      </c>
      <c r="C10" s="17">
        <v>36798000</v>
      </c>
      <c r="D10" s="18">
        <v>6932000</v>
      </c>
      <c r="E10" s="17">
        <v>731142</v>
      </c>
      <c r="F10" s="17">
        <v>510311</v>
      </c>
      <c r="G10" s="14">
        <f t="shared" si="1"/>
        <v>44971453</v>
      </c>
      <c r="H10" s="16">
        <v>975</v>
      </c>
      <c r="I10" s="17">
        <v>29128076</v>
      </c>
      <c r="J10" s="18">
        <v>7076000</v>
      </c>
      <c r="K10" s="17">
        <v>480000</v>
      </c>
      <c r="L10" s="17">
        <v>1072402</v>
      </c>
      <c r="M10" s="14">
        <f t="shared" si="0"/>
        <v>37756478</v>
      </c>
    </row>
    <row r="11" spans="1:13" x14ac:dyDescent="0.3">
      <c r="A11" s="19" t="s">
        <v>13</v>
      </c>
      <c r="B11" s="16">
        <v>1347</v>
      </c>
      <c r="C11" s="17">
        <v>22154000</v>
      </c>
      <c r="D11" s="18">
        <v>737000</v>
      </c>
      <c r="E11" s="17">
        <v>54000</v>
      </c>
      <c r="F11" s="17">
        <v>620835</v>
      </c>
      <c r="G11" s="14">
        <f t="shared" si="1"/>
        <v>23565835</v>
      </c>
      <c r="H11" s="16">
        <v>1352</v>
      </c>
      <c r="I11" s="17">
        <v>22630639</v>
      </c>
      <c r="J11" s="18">
        <v>759128</v>
      </c>
      <c r="K11" s="17">
        <v>54000</v>
      </c>
      <c r="L11" s="17">
        <v>500738</v>
      </c>
      <c r="M11" s="14">
        <f t="shared" si="0"/>
        <v>23944505</v>
      </c>
    </row>
    <row r="12" spans="1:13" x14ac:dyDescent="0.3">
      <c r="A12" s="19" t="s">
        <v>14</v>
      </c>
      <c r="B12" s="16">
        <v>6199</v>
      </c>
      <c r="C12" s="17">
        <v>20658000</v>
      </c>
      <c r="D12" s="18">
        <v>2134000</v>
      </c>
      <c r="E12" s="17">
        <v>250000</v>
      </c>
      <c r="F12" s="17">
        <v>2002849</v>
      </c>
      <c r="G12" s="14">
        <f t="shared" si="1"/>
        <v>25044849</v>
      </c>
      <c r="H12" s="16">
        <v>6871</v>
      </c>
      <c r="I12" s="17">
        <v>14484244</v>
      </c>
      <c r="J12" s="18">
        <v>2697000</v>
      </c>
      <c r="K12" s="17">
        <v>362319</v>
      </c>
      <c r="L12" s="17">
        <v>2648359</v>
      </c>
      <c r="M12" s="14">
        <f t="shared" si="0"/>
        <v>20191922</v>
      </c>
    </row>
    <row r="13" spans="1:13" x14ac:dyDescent="0.3">
      <c r="A13" s="19" t="s">
        <v>15</v>
      </c>
      <c r="B13" s="16">
        <v>1016</v>
      </c>
      <c r="C13" s="17">
        <v>5153000</v>
      </c>
      <c r="D13" s="18">
        <v>1584750</v>
      </c>
      <c r="E13" s="17">
        <v>0</v>
      </c>
      <c r="F13" s="17">
        <v>321298</v>
      </c>
      <c r="G13" s="14">
        <f t="shared" si="1"/>
        <v>7059048</v>
      </c>
      <c r="H13" s="16">
        <v>395</v>
      </c>
      <c r="I13" s="17">
        <v>1192343</v>
      </c>
      <c r="J13" s="18">
        <v>1160336</v>
      </c>
      <c r="K13" s="17">
        <v>0</v>
      </c>
      <c r="L13" s="17">
        <v>856475</v>
      </c>
      <c r="M13" s="14">
        <f t="shared" si="0"/>
        <v>3209154</v>
      </c>
    </row>
    <row r="14" spans="1:13" ht="15" thickBot="1" x14ac:dyDescent="0.35">
      <c r="A14" s="20" t="s">
        <v>16</v>
      </c>
      <c r="B14" s="21">
        <v>3527</v>
      </c>
      <c r="C14" s="22">
        <v>13566000</v>
      </c>
      <c r="D14" s="22">
        <v>1882000</v>
      </c>
      <c r="E14" s="22">
        <v>0</v>
      </c>
      <c r="F14" s="22">
        <v>0</v>
      </c>
      <c r="G14" s="23">
        <f t="shared" si="1"/>
        <v>15448000</v>
      </c>
      <c r="H14" s="21">
        <v>3404</v>
      </c>
      <c r="I14" s="22">
        <v>0</v>
      </c>
      <c r="J14" s="22">
        <v>1900000</v>
      </c>
      <c r="K14" s="22">
        <v>0</v>
      </c>
      <c r="L14" s="22">
        <v>0</v>
      </c>
      <c r="M14" s="23">
        <f t="shared" si="0"/>
        <v>1900000</v>
      </c>
    </row>
    <row r="15" spans="1:13" ht="15.6" thickTop="1" thickBot="1" x14ac:dyDescent="0.35">
      <c r="A15" s="24" t="s">
        <v>17</v>
      </c>
      <c r="B15" s="25">
        <f>SUM(B7:B14)</f>
        <v>24068</v>
      </c>
      <c r="C15" s="26">
        <f>SUM(C7:C14)</f>
        <v>732380000</v>
      </c>
      <c r="D15" s="27">
        <f t="shared" ref="D15:F15" si="2">SUM(D7:D14)</f>
        <v>202329848.25</v>
      </c>
      <c r="E15" s="28">
        <f t="shared" si="2"/>
        <v>35870912</v>
      </c>
      <c r="F15" s="28">
        <f t="shared" si="2"/>
        <v>27990243</v>
      </c>
      <c r="G15" s="29">
        <f t="shared" ref="G15:M15" si="3">SUM(G7:G14)</f>
        <v>998571003.25</v>
      </c>
      <c r="H15" s="25">
        <f t="shared" si="3"/>
        <v>23763</v>
      </c>
      <c r="I15" s="26">
        <f t="shared" si="3"/>
        <v>787775980</v>
      </c>
      <c r="J15" s="27">
        <f t="shared" si="3"/>
        <v>218121062</v>
      </c>
      <c r="K15" s="28">
        <f t="shared" si="3"/>
        <v>37878907</v>
      </c>
      <c r="L15" s="28">
        <f t="shared" si="3"/>
        <v>41084364</v>
      </c>
      <c r="M15" s="29">
        <f t="shared" si="3"/>
        <v>1084860313</v>
      </c>
    </row>
    <row r="16" spans="1:13" x14ac:dyDescent="0.3">
      <c r="B16" s="185"/>
      <c r="C16" s="185"/>
      <c r="D16" s="185"/>
      <c r="E16" s="5"/>
      <c r="G16" s="186"/>
    </row>
    <row r="17" spans="1:7" x14ac:dyDescent="0.3">
      <c r="A17" s="2"/>
      <c r="B17" s="69"/>
      <c r="C17" s="231"/>
      <c r="D17" s="232"/>
      <c r="E17" s="230"/>
      <c r="F17" s="241"/>
      <c r="G17" s="5"/>
    </row>
    <row r="18" spans="1:7" x14ac:dyDescent="0.3">
      <c r="C18" s="69"/>
      <c r="F18" s="241"/>
    </row>
    <row r="19" spans="1:7" x14ac:dyDescent="0.3">
      <c r="A19" s="69"/>
      <c r="C19" s="69"/>
      <c r="D19" s="197"/>
      <c r="E19" s="197"/>
      <c r="F19" s="241"/>
    </row>
    <row r="20" spans="1:7" x14ac:dyDescent="0.3">
      <c r="D20" s="197"/>
      <c r="E20" s="197"/>
      <c r="F20" s="241"/>
    </row>
    <row r="21" spans="1:7" x14ac:dyDescent="0.3">
      <c r="C21" s="242"/>
      <c r="F21" s="241"/>
    </row>
    <row r="22" spans="1:7" x14ac:dyDescent="0.3">
      <c r="C22" s="69"/>
      <c r="F22" s="241"/>
    </row>
    <row r="23" spans="1:7" x14ac:dyDescent="0.3">
      <c r="F23" s="241"/>
    </row>
    <row r="24" spans="1:7" x14ac:dyDescent="0.3">
      <c r="F24" s="241"/>
    </row>
    <row r="25" spans="1:7" x14ac:dyDescent="0.3">
      <c r="C25" s="175"/>
    </row>
  </sheetData>
  <mergeCells count="3">
    <mergeCell ref="A5:A6"/>
    <mergeCell ref="B5:G5"/>
    <mergeCell ref="H5:M5"/>
  </mergeCells>
  <pageMargins left="0.31496062992125984" right="0.19685039370078741" top="0.78740157480314965" bottom="0.78740157480314965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workbookViewId="0">
      <selection activeCell="U19" sqref="U19"/>
    </sheetView>
  </sheetViews>
  <sheetFormatPr defaultColWidth="9.109375" defaultRowHeight="14.4" x14ac:dyDescent="0.3"/>
  <cols>
    <col min="1" max="2" width="10.109375" style="1" customWidth="1"/>
    <col min="3" max="3" width="9.5546875" style="1" customWidth="1"/>
    <col min="4" max="4" width="12.33203125" style="1" customWidth="1"/>
    <col min="5" max="5" width="11.88671875" style="1" bestFit="1" customWidth="1"/>
    <col min="6" max="6" width="10.88671875" style="1" bestFit="1" customWidth="1"/>
    <col min="7" max="7" width="11.33203125" style="1" bestFit="1" customWidth="1"/>
    <col min="8" max="8" width="9.44140625" style="1" customWidth="1"/>
    <col min="9" max="9" width="10.33203125" style="1" bestFit="1" customWidth="1"/>
    <col min="10" max="10" width="10" style="1" bestFit="1" customWidth="1"/>
    <col min="11" max="11" width="10" style="1" customWidth="1"/>
    <col min="12" max="12" width="9.44140625" style="1" customWidth="1"/>
    <col min="13" max="14" width="9.33203125" style="1" bestFit="1" customWidth="1"/>
    <col min="15" max="15" width="9.109375" style="1"/>
    <col min="16" max="16" width="10.88671875" style="1" bestFit="1" customWidth="1"/>
    <col min="17" max="16384" width="9.109375" style="1"/>
  </cols>
  <sheetData>
    <row r="1" spans="1:16" x14ac:dyDescent="0.3">
      <c r="H1" s="69"/>
      <c r="I1" s="69"/>
      <c r="J1" s="69"/>
      <c r="K1" s="69"/>
    </row>
    <row r="2" spans="1:16" x14ac:dyDescent="0.3">
      <c r="H2" s="69"/>
      <c r="I2" s="69"/>
      <c r="J2" s="69"/>
      <c r="K2" s="69"/>
    </row>
    <row r="3" spans="1:16" ht="33.75" customHeight="1" x14ac:dyDescent="0.3">
      <c r="A3" s="436" t="s">
        <v>96</v>
      </c>
      <c r="B3" s="436"/>
      <c r="C3" s="436"/>
      <c r="D3" s="436"/>
      <c r="E3" s="436"/>
      <c r="F3" s="436"/>
      <c r="G3" s="436"/>
      <c r="H3" s="436"/>
      <c r="I3" s="436"/>
      <c r="J3" s="436"/>
      <c r="K3" s="436"/>
      <c r="L3" s="436"/>
      <c r="M3" s="436"/>
      <c r="N3" s="436"/>
    </row>
    <row r="4" spans="1:16" ht="15" thickBot="1" x14ac:dyDescent="0.35">
      <c r="A4" s="113"/>
      <c r="B4" s="113"/>
      <c r="C4" s="113"/>
      <c r="D4" s="113"/>
      <c r="E4" s="114"/>
      <c r="F4" s="114"/>
      <c r="G4" s="114"/>
      <c r="H4" s="114"/>
      <c r="I4" s="114"/>
      <c r="J4" s="114"/>
      <c r="K4" s="114"/>
      <c r="L4" s="114"/>
      <c r="M4" s="115"/>
      <c r="N4" s="115"/>
    </row>
    <row r="5" spans="1:16" ht="15" thickBot="1" x14ac:dyDescent="0.35">
      <c r="A5" s="410" t="s">
        <v>97</v>
      </c>
      <c r="B5" s="411"/>
      <c r="C5" s="411"/>
      <c r="D5" s="411"/>
      <c r="E5" s="411"/>
      <c r="F5" s="411"/>
      <c r="G5" s="411"/>
      <c r="H5" s="411"/>
      <c r="I5" s="411"/>
      <c r="J5" s="411"/>
      <c r="K5" s="411"/>
      <c r="L5" s="411"/>
      <c r="M5" s="411"/>
      <c r="N5" s="412"/>
    </row>
    <row r="6" spans="1:16" ht="15" customHeight="1" x14ac:dyDescent="0.3">
      <c r="A6" s="424" t="s">
        <v>39</v>
      </c>
      <c r="B6" s="426" t="s">
        <v>40</v>
      </c>
      <c r="C6" s="434" t="s">
        <v>61</v>
      </c>
      <c r="D6" s="437" t="s">
        <v>42</v>
      </c>
      <c r="E6" s="439" t="s">
        <v>43</v>
      </c>
      <c r="F6" s="429"/>
      <c r="G6" s="429"/>
      <c r="H6" s="429"/>
      <c r="I6" s="429"/>
      <c r="J6" s="429"/>
      <c r="K6" s="429"/>
      <c r="L6" s="429"/>
      <c r="M6" s="429"/>
      <c r="N6" s="430"/>
    </row>
    <row r="7" spans="1:16" ht="41.4" thickBot="1" x14ac:dyDescent="0.35">
      <c r="A7" s="425"/>
      <c r="B7" s="427"/>
      <c r="C7" s="435"/>
      <c r="D7" s="438"/>
      <c r="E7" s="116" t="s">
        <v>45</v>
      </c>
      <c r="F7" s="199" t="s">
        <v>46</v>
      </c>
      <c r="G7" s="199" t="s">
        <v>47</v>
      </c>
      <c r="H7" s="199" t="s">
        <v>48</v>
      </c>
      <c r="I7" s="199" t="s">
        <v>49</v>
      </c>
      <c r="J7" s="199" t="s">
        <v>50</v>
      </c>
      <c r="K7" s="199" t="s">
        <v>79</v>
      </c>
      <c r="L7" s="88" t="s">
        <v>51</v>
      </c>
      <c r="M7" s="199" t="s">
        <v>52</v>
      </c>
      <c r="N7" s="89" t="s">
        <v>53</v>
      </c>
    </row>
    <row r="8" spans="1:16" ht="15" thickTop="1" x14ac:dyDescent="0.3">
      <c r="A8" s="90" t="s">
        <v>83</v>
      </c>
      <c r="B8" s="338">
        <v>905.95899999999995</v>
      </c>
      <c r="C8" s="339">
        <v>351013896</v>
      </c>
      <c r="D8" s="342">
        <f>C8/B8/12</f>
        <v>32287.5074920609</v>
      </c>
      <c r="E8" s="375">
        <v>234535238</v>
      </c>
      <c r="F8" s="339">
        <v>64443715</v>
      </c>
      <c r="G8" s="339">
        <v>13207096</v>
      </c>
      <c r="H8" s="339">
        <v>18086720</v>
      </c>
      <c r="I8" s="339">
        <v>6369293</v>
      </c>
      <c r="J8" s="339">
        <v>3832200</v>
      </c>
      <c r="K8" s="339">
        <v>597185</v>
      </c>
      <c r="L8" s="339">
        <v>9535746</v>
      </c>
      <c r="M8" s="339">
        <v>277208</v>
      </c>
      <c r="N8" s="342">
        <v>129495</v>
      </c>
      <c r="P8" s="69"/>
    </row>
    <row r="9" spans="1:16" x14ac:dyDescent="0.3">
      <c r="A9" s="91" t="s">
        <v>10</v>
      </c>
      <c r="B9" s="372">
        <v>27.222999999999999</v>
      </c>
      <c r="C9" s="339">
        <v>10443055</v>
      </c>
      <c r="D9" s="342">
        <f t="shared" ref="D9:D16" si="0">C9/B9/12</f>
        <v>31967.622353647039</v>
      </c>
      <c r="E9" s="376">
        <v>7215624</v>
      </c>
      <c r="F9" s="377">
        <v>2028348</v>
      </c>
      <c r="G9" s="377">
        <v>342999</v>
      </c>
      <c r="H9" s="377">
        <v>378406</v>
      </c>
      <c r="I9" s="377">
        <v>281194</v>
      </c>
      <c r="J9" s="377">
        <v>98311</v>
      </c>
      <c r="K9" s="377">
        <v>0</v>
      </c>
      <c r="L9" s="377">
        <v>86301</v>
      </c>
      <c r="M9" s="377">
        <v>11872</v>
      </c>
      <c r="N9" s="378">
        <v>0</v>
      </c>
      <c r="P9" s="69"/>
    </row>
    <row r="10" spans="1:16" ht="20.399999999999999" x14ac:dyDescent="0.3">
      <c r="A10" s="91" t="s">
        <v>100</v>
      </c>
      <c r="B10" s="372">
        <v>78.635000000000005</v>
      </c>
      <c r="C10" s="339">
        <v>29769216</v>
      </c>
      <c r="D10" s="342">
        <f t="shared" si="0"/>
        <v>31547.885801487882</v>
      </c>
      <c r="E10" s="376">
        <v>18524123</v>
      </c>
      <c r="F10" s="377">
        <v>5141970</v>
      </c>
      <c r="G10" s="377">
        <v>1563365</v>
      </c>
      <c r="H10" s="377">
        <v>2899566</v>
      </c>
      <c r="I10" s="377">
        <v>569233</v>
      </c>
      <c r="J10" s="377">
        <v>929612</v>
      </c>
      <c r="K10" s="377">
        <v>60053</v>
      </c>
      <c r="L10" s="377">
        <v>71590</v>
      </c>
      <c r="M10" s="377">
        <v>7651</v>
      </c>
      <c r="N10" s="378">
        <v>2053</v>
      </c>
      <c r="P10" s="69"/>
    </row>
    <row r="11" spans="1:16" x14ac:dyDescent="0.3">
      <c r="A11" s="91" t="s">
        <v>27</v>
      </c>
      <c r="B11" s="372">
        <v>10.71</v>
      </c>
      <c r="C11" s="339">
        <v>3423115</v>
      </c>
      <c r="D11" s="342">
        <f t="shared" si="0"/>
        <v>26634.881730469962</v>
      </c>
      <c r="E11" s="376">
        <v>2312813</v>
      </c>
      <c r="F11" s="377">
        <v>604209</v>
      </c>
      <c r="G11" s="377">
        <v>112127</v>
      </c>
      <c r="H11" s="377">
        <v>270037</v>
      </c>
      <c r="I11" s="377">
        <v>37239</v>
      </c>
      <c r="J11" s="377">
        <v>70314</v>
      </c>
      <c r="K11" s="377">
        <v>0</v>
      </c>
      <c r="L11" s="377">
        <v>0</v>
      </c>
      <c r="M11" s="377">
        <v>0</v>
      </c>
      <c r="N11" s="378">
        <v>16376</v>
      </c>
      <c r="P11" s="69"/>
    </row>
    <row r="12" spans="1:16" x14ac:dyDescent="0.3">
      <c r="A12" s="92" t="s">
        <v>28</v>
      </c>
      <c r="B12" s="379">
        <v>0</v>
      </c>
      <c r="C12" s="339">
        <f t="shared" ref="C12" si="1">SUM(E12:N12)</f>
        <v>0</v>
      </c>
      <c r="D12" s="342">
        <v>0</v>
      </c>
      <c r="E12" s="380">
        <v>0</v>
      </c>
      <c r="F12" s="381">
        <v>0</v>
      </c>
      <c r="G12" s="381">
        <v>0</v>
      </c>
      <c r="H12" s="381">
        <v>0</v>
      </c>
      <c r="I12" s="381">
        <v>0</v>
      </c>
      <c r="J12" s="381">
        <v>0</v>
      </c>
      <c r="K12" s="381">
        <v>0</v>
      </c>
      <c r="L12" s="381">
        <v>0</v>
      </c>
      <c r="M12" s="381">
        <v>0</v>
      </c>
      <c r="N12" s="382">
        <v>0</v>
      </c>
    </row>
    <row r="13" spans="1:16" x14ac:dyDescent="0.3">
      <c r="A13" s="103" t="s">
        <v>11</v>
      </c>
      <c r="B13" s="379">
        <v>75.644000000000005</v>
      </c>
      <c r="C13" s="339">
        <v>27890780</v>
      </c>
      <c r="D13" s="342">
        <f t="shared" si="0"/>
        <v>30725.922302716233</v>
      </c>
      <c r="E13" s="380">
        <v>17362318</v>
      </c>
      <c r="F13" s="381">
        <v>4391440</v>
      </c>
      <c r="G13" s="381">
        <v>1056099</v>
      </c>
      <c r="H13" s="381">
        <v>1455915</v>
      </c>
      <c r="I13" s="381">
        <v>813135</v>
      </c>
      <c r="J13" s="381">
        <v>533830</v>
      </c>
      <c r="K13" s="381">
        <v>0</v>
      </c>
      <c r="L13" s="381">
        <v>0</v>
      </c>
      <c r="M13" s="381">
        <v>293602</v>
      </c>
      <c r="N13" s="382">
        <v>1984441</v>
      </c>
      <c r="P13" s="69"/>
    </row>
    <row r="14" spans="1:16" x14ac:dyDescent="0.3">
      <c r="A14" s="103" t="s">
        <v>8</v>
      </c>
      <c r="B14" s="379">
        <v>4.0640000000000001</v>
      </c>
      <c r="C14" s="346">
        <v>1593437</v>
      </c>
      <c r="D14" s="349">
        <f t="shared" si="0"/>
        <v>32673.822998687665</v>
      </c>
      <c r="E14" s="380">
        <v>1046161</v>
      </c>
      <c r="F14" s="381">
        <v>178135</v>
      </c>
      <c r="G14" s="381">
        <v>77055</v>
      </c>
      <c r="H14" s="381">
        <v>247929</v>
      </c>
      <c r="I14" s="381">
        <v>0</v>
      </c>
      <c r="J14" s="381">
        <v>36840</v>
      </c>
      <c r="K14" s="381">
        <v>5650</v>
      </c>
      <c r="L14" s="381">
        <v>0</v>
      </c>
      <c r="M14" s="381">
        <v>264</v>
      </c>
      <c r="N14" s="382">
        <v>1403</v>
      </c>
      <c r="P14" s="69"/>
    </row>
    <row r="15" spans="1:16" ht="20.399999999999999" x14ac:dyDescent="0.3">
      <c r="A15" s="103" t="s">
        <v>101</v>
      </c>
      <c r="B15" s="379">
        <v>13.04</v>
      </c>
      <c r="C15" s="346">
        <v>5222808</v>
      </c>
      <c r="D15" s="349">
        <f t="shared" si="0"/>
        <v>33376.840490797549</v>
      </c>
      <c r="E15" s="380">
        <v>3477331</v>
      </c>
      <c r="F15" s="381">
        <v>900572</v>
      </c>
      <c r="G15" s="381">
        <v>369777</v>
      </c>
      <c r="H15" s="381">
        <v>295925</v>
      </c>
      <c r="I15" s="381">
        <v>117607</v>
      </c>
      <c r="J15" s="381">
        <v>61596</v>
      </c>
      <c r="K15" s="381">
        <v>0</v>
      </c>
      <c r="L15" s="381">
        <v>0</v>
      </c>
      <c r="M15" s="381">
        <v>0</v>
      </c>
      <c r="N15" s="382">
        <v>0</v>
      </c>
      <c r="P15" s="69"/>
    </row>
    <row r="16" spans="1:16" ht="21" thickBot="1" x14ac:dyDescent="0.35">
      <c r="A16" s="93" t="s">
        <v>58</v>
      </c>
      <c r="B16" s="351">
        <v>127.655</v>
      </c>
      <c r="C16" s="352">
        <v>44490510</v>
      </c>
      <c r="D16" s="383">
        <f t="shared" si="0"/>
        <v>29043.456973874898</v>
      </c>
      <c r="E16" s="384">
        <v>31814291</v>
      </c>
      <c r="F16" s="352">
        <v>7767291</v>
      </c>
      <c r="G16" s="352">
        <v>1583575</v>
      </c>
      <c r="H16" s="352">
        <v>1585039</v>
      </c>
      <c r="I16" s="352">
        <v>1176109</v>
      </c>
      <c r="J16" s="352">
        <v>27119</v>
      </c>
      <c r="K16" s="352">
        <v>0</v>
      </c>
      <c r="L16" s="352">
        <v>36142</v>
      </c>
      <c r="M16" s="352">
        <v>1782</v>
      </c>
      <c r="N16" s="355">
        <v>499162</v>
      </c>
      <c r="P16" s="69"/>
    </row>
    <row r="17" spans="1:14" ht="15.6" thickTop="1" thickBot="1" x14ac:dyDescent="0.35">
      <c r="A17" s="117" t="s">
        <v>55</v>
      </c>
      <c r="B17" s="104">
        <f>SUM(B8:B16)</f>
        <v>1242.9299999999998</v>
      </c>
      <c r="C17" s="105">
        <f>SUM(C8:C16)</f>
        <v>473846817</v>
      </c>
      <c r="D17" s="190">
        <f>C17/B17/12</f>
        <v>31769.47595600718</v>
      </c>
      <c r="E17" s="118">
        <f>SUM(E8:E16)</f>
        <v>316287899</v>
      </c>
      <c r="F17" s="105">
        <f t="shared" ref="F17:N17" si="2">SUM(F8:F16)</f>
        <v>85455680</v>
      </c>
      <c r="G17" s="105">
        <f t="shared" si="2"/>
        <v>18312093</v>
      </c>
      <c r="H17" s="105">
        <f t="shared" si="2"/>
        <v>25219537</v>
      </c>
      <c r="I17" s="105">
        <f t="shared" si="2"/>
        <v>9363810</v>
      </c>
      <c r="J17" s="105">
        <f t="shared" si="2"/>
        <v>5589822</v>
      </c>
      <c r="K17" s="105">
        <f t="shared" si="2"/>
        <v>662888</v>
      </c>
      <c r="L17" s="105">
        <f t="shared" si="2"/>
        <v>9729779</v>
      </c>
      <c r="M17" s="105">
        <f t="shared" si="2"/>
        <v>592379</v>
      </c>
      <c r="N17" s="100">
        <f t="shared" si="2"/>
        <v>2632930</v>
      </c>
    </row>
    <row r="18" spans="1:14" x14ac:dyDescent="0.3">
      <c r="A18" s="180"/>
      <c r="B18" s="229"/>
      <c r="C18" s="250"/>
      <c r="D18" s="180"/>
      <c r="E18" s="180"/>
      <c r="F18" s="180"/>
      <c r="G18" s="180"/>
      <c r="H18" s="180"/>
      <c r="I18" s="180"/>
      <c r="J18" s="180"/>
      <c r="K18" s="180"/>
      <c r="L18" s="180"/>
      <c r="M18" s="180"/>
    </row>
    <row r="19" spans="1:14" ht="23.25" customHeight="1" x14ac:dyDescent="0.3">
      <c r="B19" s="85" t="s">
        <v>1</v>
      </c>
    </row>
    <row r="21" spans="1:14" x14ac:dyDescent="0.3">
      <c r="D21" s="85"/>
    </row>
    <row r="22" spans="1:14" x14ac:dyDescent="0.3">
      <c r="D22" s="85"/>
    </row>
    <row r="23" spans="1:14" x14ac:dyDescent="0.3">
      <c r="D23" s="85"/>
    </row>
    <row r="24" spans="1:14" x14ac:dyDescent="0.3">
      <c r="D24" s="85"/>
    </row>
    <row r="25" spans="1:14" x14ac:dyDescent="0.3">
      <c r="D25" s="85"/>
    </row>
    <row r="26" spans="1:14" x14ac:dyDescent="0.3">
      <c r="D26" s="85"/>
    </row>
    <row r="27" spans="1:14" x14ac:dyDescent="0.3">
      <c r="D27" s="85"/>
    </row>
    <row r="28" spans="1:14" x14ac:dyDescent="0.3">
      <c r="D28" s="85"/>
    </row>
    <row r="29" spans="1:14" x14ac:dyDescent="0.3">
      <c r="D29" s="85"/>
    </row>
    <row r="30" spans="1:14" x14ac:dyDescent="0.3">
      <c r="D30" s="85"/>
    </row>
    <row r="31" spans="1:14" x14ac:dyDescent="0.3">
      <c r="D31" s="85"/>
    </row>
    <row r="32" spans="1:14" x14ac:dyDescent="0.3">
      <c r="D32" s="85"/>
    </row>
    <row r="33" spans="4:4" x14ac:dyDescent="0.3">
      <c r="D33" s="85"/>
    </row>
    <row r="34" spans="4:4" x14ac:dyDescent="0.3">
      <c r="D34" s="85"/>
    </row>
    <row r="35" spans="4:4" x14ac:dyDescent="0.3">
      <c r="D35" s="85"/>
    </row>
    <row r="36" spans="4:4" x14ac:dyDescent="0.3">
      <c r="D36" s="85"/>
    </row>
    <row r="37" spans="4:4" x14ac:dyDescent="0.3">
      <c r="D37" s="85"/>
    </row>
    <row r="38" spans="4:4" x14ac:dyDescent="0.3">
      <c r="D38" s="85"/>
    </row>
  </sheetData>
  <mergeCells count="7">
    <mergeCell ref="A3:N3"/>
    <mergeCell ref="A5:N5"/>
    <mergeCell ref="A6:A7"/>
    <mergeCell ref="B6:B7"/>
    <mergeCell ref="C6:C7"/>
    <mergeCell ref="D6:D7"/>
    <mergeCell ref="E6:N6"/>
  </mergeCells>
  <pageMargins left="0.19685039370078741" right="0.19685039370078741" top="0.78740157480314965" bottom="0.78740157480314965" header="0.31496062992125984" footer="0.31496062992125984"/>
  <pageSetup paperSize="9" scale="9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>
      <selection activeCell="N9" sqref="N9"/>
    </sheetView>
  </sheetViews>
  <sheetFormatPr defaultRowHeight="14.4" x14ac:dyDescent="0.3"/>
  <cols>
    <col min="1" max="2" width="10.109375" customWidth="1"/>
    <col min="3" max="3" width="10.5546875" customWidth="1"/>
    <col min="4" max="4" width="12.6640625" customWidth="1"/>
    <col min="5" max="5" width="11.109375" customWidth="1"/>
    <col min="6" max="6" width="10.88671875" customWidth="1"/>
    <col min="7" max="7" width="9.33203125" customWidth="1"/>
    <col min="8" max="8" width="9.44140625" customWidth="1"/>
    <col min="9" max="9" width="9.109375" customWidth="1"/>
    <col min="10" max="10" width="9.5546875" customWidth="1"/>
    <col min="11" max="11" width="11.6640625" customWidth="1"/>
    <col min="12" max="12" width="13.88671875" customWidth="1"/>
    <col min="14" max="14" width="9.88671875" bestFit="1" customWidth="1"/>
  </cols>
  <sheetData>
    <row r="1" spans="1:14" x14ac:dyDescent="0.3">
      <c r="H1" s="119"/>
      <c r="I1" s="119"/>
      <c r="J1" s="119"/>
    </row>
    <row r="2" spans="1:14" x14ac:dyDescent="0.3">
      <c r="H2" s="119"/>
      <c r="I2" s="119"/>
      <c r="J2" s="119"/>
    </row>
    <row r="3" spans="1:14" ht="34.5" customHeight="1" x14ac:dyDescent="0.3">
      <c r="A3" s="431" t="s">
        <v>106</v>
      </c>
      <c r="B3" s="431"/>
      <c r="C3" s="431"/>
      <c r="D3" s="431"/>
      <c r="E3" s="431"/>
      <c r="F3" s="431"/>
      <c r="G3" s="431"/>
      <c r="H3" s="431"/>
      <c r="I3" s="431"/>
      <c r="J3" s="431"/>
      <c r="K3" s="431"/>
      <c r="L3" s="431"/>
      <c r="M3" s="6"/>
    </row>
    <row r="4" spans="1:14" ht="15" thickBot="1" x14ac:dyDescent="0.35">
      <c r="A4" s="113"/>
      <c r="B4" s="113"/>
      <c r="C4" s="113"/>
      <c r="D4" s="113"/>
      <c r="E4" s="113"/>
      <c r="F4" s="113"/>
      <c r="G4" s="113"/>
      <c r="H4" s="113"/>
      <c r="I4" s="113"/>
      <c r="J4" s="113"/>
      <c r="K4" s="120"/>
      <c r="L4" s="120"/>
      <c r="M4" s="120"/>
    </row>
    <row r="5" spans="1:14" ht="15" thickBot="1" x14ac:dyDescent="0.35">
      <c r="A5" s="440" t="s">
        <v>107</v>
      </c>
      <c r="B5" s="441"/>
      <c r="C5" s="441"/>
      <c r="D5" s="441"/>
      <c r="E5" s="441"/>
      <c r="F5" s="441"/>
      <c r="G5" s="441"/>
      <c r="H5" s="441"/>
      <c r="I5" s="441"/>
      <c r="J5" s="441"/>
      <c r="K5" s="441"/>
      <c r="L5" s="442"/>
    </row>
    <row r="6" spans="1:14" ht="15" customHeight="1" x14ac:dyDescent="0.3">
      <c r="A6" s="432" t="s">
        <v>39</v>
      </c>
      <c r="B6" s="426" t="s">
        <v>40</v>
      </c>
      <c r="C6" s="434" t="s">
        <v>56</v>
      </c>
      <c r="D6" s="437" t="s">
        <v>42</v>
      </c>
      <c r="E6" s="422" t="s">
        <v>43</v>
      </c>
      <c r="F6" s="422"/>
      <c r="G6" s="422"/>
      <c r="H6" s="422"/>
      <c r="I6" s="422"/>
      <c r="J6" s="422"/>
      <c r="K6" s="422"/>
      <c r="L6" s="423"/>
    </row>
    <row r="7" spans="1:14" ht="61.5" customHeight="1" thickBot="1" x14ac:dyDescent="0.35">
      <c r="A7" s="433"/>
      <c r="B7" s="427"/>
      <c r="C7" s="435"/>
      <c r="D7" s="438"/>
      <c r="E7" s="116" t="s">
        <v>45</v>
      </c>
      <c r="F7" s="87" t="s">
        <v>46</v>
      </c>
      <c r="G7" s="87" t="s">
        <v>47</v>
      </c>
      <c r="H7" s="87" t="s">
        <v>48</v>
      </c>
      <c r="I7" s="87" t="s">
        <v>49</v>
      </c>
      <c r="J7" s="87" t="s">
        <v>50</v>
      </c>
      <c r="K7" s="87" t="s">
        <v>52</v>
      </c>
      <c r="L7" s="89" t="s">
        <v>53</v>
      </c>
    </row>
    <row r="8" spans="1:14" ht="23.25" customHeight="1" thickTop="1" x14ac:dyDescent="0.3">
      <c r="A8" s="109" t="s">
        <v>26</v>
      </c>
      <c r="B8" s="369">
        <v>221.21600000000001</v>
      </c>
      <c r="C8" s="370">
        <v>39550044</v>
      </c>
      <c r="D8" s="342">
        <f>C8/B8/12</f>
        <v>14898.727940112831</v>
      </c>
      <c r="E8" s="375">
        <v>31332200</v>
      </c>
      <c r="F8" s="339">
        <v>3502295</v>
      </c>
      <c r="G8" s="339">
        <v>707089</v>
      </c>
      <c r="H8" s="339">
        <v>3780185</v>
      </c>
      <c r="I8" s="339">
        <v>125809</v>
      </c>
      <c r="J8" s="339">
        <v>0</v>
      </c>
      <c r="K8" s="339">
        <v>9167</v>
      </c>
      <c r="L8" s="342">
        <v>93299</v>
      </c>
      <c r="N8" s="119"/>
    </row>
    <row r="9" spans="1:14" ht="23.25" customHeight="1" x14ac:dyDescent="0.3">
      <c r="A9" s="110" t="s">
        <v>84</v>
      </c>
      <c r="B9" s="371">
        <v>414.10300000000001</v>
      </c>
      <c r="C9" s="370">
        <v>84126467</v>
      </c>
      <c r="D9" s="342">
        <f t="shared" ref="D9:D12" si="0">C9/B9/12</f>
        <v>16929.456962800719</v>
      </c>
      <c r="E9" s="376">
        <v>64395077</v>
      </c>
      <c r="F9" s="377">
        <v>7666671</v>
      </c>
      <c r="G9" s="377">
        <v>2226800</v>
      </c>
      <c r="H9" s="377">
        <v>8130299</v>
      </c>
      <c r="I9" s="377">
        <v>1089120</v>
      </c>
      <c r="J9" s="377">
        <v>516</v>
      </c>
      <c r="K9" s="377">
        <v>199857</v>
      </c>
      <c r="L9" s="378">
        <v>418127</v>
      </c>
      <c r="N9" s="119"/>
    </row>
    <row r="10" spans="1:14" ht="23.25" customHeight="1" x14ac:dyDescent="0.3">
      <c r="A10" s="110" t="s">
        <v>60</v>
      </c>
      <c r="B10" s="371">
        <v>22.827000000000002</v>
      </c>
      <c r="C10" s="370">
        <v>5482167</v>
      </c>
      <c r="D10" s="342">
        <f t="shared" si="0"/>
        <v>20013.459937792963</v>
      </c>
      <c r="E10" s="376">
        <v>3696957</v>
      </c>
      <c r="F10" s="377">
        <v>442577</v>
      </c>
      <c r="G10" s="377">
        <v>179546</v>
      </c>
      <c r="H10" s="377">
        <v>1088575</v>
      </c>
      <c r="I10" s="377">
        <v>62957</v>
      </c>
      <c r="J10" s="377">
        <v>0</v>
      </c>
      <c r="K10" s="377">
        <v>0</v>
      </c>
      <c r="L10" s="378">
        <v>11555</v>
      </c>
      <c r="N10" s="119"/>
    </row>
    <row r="11" spans="1:14" ht="23.25" customHeight="1" x14ac:dyDescent="0.3">
      <c r="A11" s="110" t="s">
        <v>27</v>
      </c>
      <c r="B11" s="371">
        <v>2.6150000000000002</v>
      </c>
      <c r="C11" s="370">
        <v>462597</v>
      </c>
      <c r="D11" s="342">
        <f t="shared" si="0"/>
        <v>14741.778202676862</v>
      </c>
      <c r="E11" s="376">
        <v>347758</v>
      </c>
      <c r="F11" s="377">
        <v>47225</v>
      </c>
      <c r="G11" s="377">
        <v>36713</v>
      </c>
      <c r="H11" s="377">
        <v>29300</v>
      </c>
      <c r="I11" s="377">
        <v>0</v>
      </c>
      <c r="J11" s="377">
        <v>0</v>
      </c>
      <c r="K11" s="377">
        <v>1601</v>
      </c>
      <c r="L11" s="378">
        <v>0</v>
      </c>
      <c r="N11" s="119"/>
    </row>
    <row r="12" spans="1:14" ht="23.25" customHeight="1" x14ac:dyDescent="0.3">
      <c r="A12" s="111" t="s">
        <v>28</v>
      </c>
      <c r="B12" s="372">
        <v>481.24900000000002</v>
      </c>
      <c r="C12" s="370">
        <v>96897570</v>
      </c>
      <c r="D12" s="342">
        <f t="shared" si="0"/>
        <v>16778.834865111407</v>
      </c>
      <c r="E12" s="376">
        <v>75595458</v>
      </c>
      <c r="F12" s="377">
        <v>9252351</v>
      </c>
      <c r="G12" s="377">
        <v>1959850</v>
      </c>
      <c r="H12" s="377">
        <v>8090311</v>
      </c>
      <c r="I12" s="377">
        <v>1922965</v>
      </c>
      <c r="J12" s="377">
        <v>0</v>
      </c>
      <c r="K12" s="377">
        <v>61160</v>
      </c>
      <c r="L12" s="378">
        <v>15475</v>
      </c>
      <c r="N12" s="119"/>
    </row>
    <row r="13" spans="1:14" ht="23.25" customHeight="1" thickBot="1" x14ac:dyDescent="0.35">
      <c r="A13" s="112" t="s">
        <v>54</v>
      </c>
      <c r="B13" s="351">
        <v>56.552999999999997</v>
      </c>
      <c r="C13" s="373">
        <v>12581696</v>
      </c>
      <c r="D13" s="383">
        <f>C13/B13/12</f>
        <v>18539.682539682541</v>
      </c>
      <c r="E13" s="384">
        <v>9494037</v>
      </c>
      <c r="F13" s="352">
        <v>1161900</v>
      </c>
      <c r="G13" s="352">
        <v>582935</v>
      </c>
      <c r="H13" s="352">
        <v>1134466</v>
      </c>
      <c r="I13" s="352">
        <v>140940</v>
      </c>
      <c r="J13" s="352">
        <v>0</v>
      </c>
      <c r="K13" s="352">
        <v>18867</v>
      </c>
      <c r="L13" s="355">
        <v>48551</v>
      </c>
      <c r="N13" s="119"/>
    </row>
    <row r="14" spans="1:14" ht="23.25" customHeight="1" thickTop="1" thickBot="1" x14ac:dyDescent="0.35">
      <c r="A14" s="94" t="s">
        <v>55</v>
      </c>
      <c r="B14" s="104">
        <f>SUM(B8:B13)</f>
        <v>1198.5630000000001</v>
      </c>
      <c r="C14" s="105">
        <f>SUM(C8:C13)</f>
        <v>239100541</v>
      </c>
      <c r="D14" s="100">
        <f>C14/B14/12</f>
        <v>16624.111609763804</v>
      </c>
      <c r="E14" s="118">
        <f>SUM(E8:E13)</f>
        <v>184861487</v>
      </c>
      <c r="F14" s="105">
        <f t="shared" ref="F14:L14" si="1">SUM(F8:F13)</f>
        <v>22073019</v>
      </c>
      <c r="G14" s="105">
        <f t="shared" si="1"/>
        <v>5692933</v>
      </c>
      <c r="H14" s="105">
        <f t="shared" si="1"/>
        <v>22253136</v>
      </c>
      <c r="I14" s="105">
        <f t="shared" si="1"/>
        <v>3341791</v>
      </c>
      <c r="J14" s="105">
        <f t="shared" si="1"/>
        <v>516</v>
      </c>
      <c r="K14" s="105">
        <f t="shared" si="1"/>
        <v>290652</v>
      </c>
      <c r="L14" s="100">
        <f t="shared" si="1"/>
        <v>587007</v>
      </c>
    </row>
    <row r="15" spans="1:14" x14ac:dyDescent="0.3">
      <c r="D15" s="177"/>
    </row>
    <row r="16" spans="1:14" x14ac:dyDescent="0.3">
      <c r="A16" s="171"/>
      <c r="B16" s="178"/>
      <c r="C16" s="179"/>
      <c r="E16" s="179"/>
      <c r="F16" s="179"/>
      <c r="G16" s="179"/>
      <c r="H16" s="179"/>
      <c r="I16" s="179"/>
      <c r="J16" s="179"/>
      <c r="K16" s="179"/>
      <c r="L16" s="179"/>
    </row>
    <row r="17" spans="4:5" x14ac:dyDescent="0.3">
      <c r="D17" s="84"/>
      <c r="E17" s="84"/>
    </row>
    <row r="18" spans="4:5" x14ac:dyDescent="0.3">
      <c r="D18" s="84"/>
      <c r="E18" s="84"/>
    </row>
    <row r="19" spans="4:5" x14ac:dyDescent="0.3">
      <c r="D19" s="84"/>
      <c r="E19" s="84"/>
    </row>
    <row r="20" spans="4:5" x14ac:dyDescent="0.3">
      <c r="D20" s="84"/>
      <c r="E20" s="84"/>
    </row>
    <row r="21" spans="4:5" x14ac:dyDescent="0.3">
      <c r="D21" s="84"/>
      <c r="E21" s="84"/>
    </row>
    <row r="22" spans="4:5" x14ac:dyDescent="0.3">
      <c r="D22" s="84"/>
      <c r="E22" s="84"/>
    </row>
    <row r="23" spans="4:5" x14ac:dyDescent="0.3">
      <c r="D23" s="84"/>
      <c r="E23" s="84"/>
    </row>
  </sheetData>
  <mergeCells count="7">
    <mergeCell ref="A3:L3"/>
    <mergeCell ref="A5:L5"/>
    <mergeCell ref="A6:A7"/>
    <mergeCell ref="B6:B7"/>
    <mergeCell ref="C6:C7"/>
    <mergeCell ref="D6:D7"/>
    <mergeCell ref="E6:L6"/>
  </mergeCells>
  <pageMargins left="0.7" right="0.7" top="0.78740157499999996" bottom="0.78740157499999996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workbookViewId="0">
      <selection activeCell="W10" sqref="W10"/>
    </sheetView>
  </sheetViews>
  <sheetFormatPr defaultColWidth="9.109375" defaultRowHeight="14.4" x14ac:dyDescent="0.3"/>
  <cols>
    <col min="1" max="1" width="11.6640625" style="1" customWidth="1"/>
    <col min="2" max="2" width="10.109375" style="1" customWidth="1"/>
    <col min="3" max="3" width="10.33203125" style="1" customWidth="1"/>
    <col min="4" max="4" width="12.88671875" style="1" bestFit="1" customWidth="1"/>
    <col min="5" max="5" width="11.88671875" style="1" bestFit="1" customWidth="1"/>
    <col min="6" max="6" width="10" style="1" bestFit="1" customWidth="1"/>
    <col min="7" max="7" width="10.33203125" style="1" bestFit="1" customWidth="1"/>
    <col min="8" max="8" width="10" style="1" bestFit="1" customWidth="1"/>
    <col min="9" max="9" width="9.33203125" style="1" bestFit="1" customWidth="1"/>
    <col min="10" max="11" width="9.6640625" style="1" bestFit="1" customWidth="1"/>
    <col min="12" max="12" width="9.33203125" style="1" bestFit="1" customWidth="1"/>
    <col min="13" max="13" width="9.109375" style="1"/>
    <col min="14" max="14" width="9.88671875" style="1" bestFit="1" customWidth="1"/>
    <col min="15" max="16384" width="9.109375" style="1"/>
  </cols>
  <sheetData>
    <row r="1" spans="1:14" x14ac:dyDescent="0.3">
      <c r="H1" s="69"/>
      <c r="I1" s="69"/>
      <c r="J1" s="69"/>
    </row>
    <row r="2" spans="1:14" x14ac:dyDescent="0.3">
      <c r="H2" s="69"/>
      <c r="I2" s="69"/>
      <c r="J2" s="69"/>
    </row>
    <row r="3" spans="1:14" ht="34.5" customHeight="1" x14ac:dyDescent="0.3">
      <c r="A3" s="431" t="s">
        <v>102</v>
      </c>
      <c r="B3" s="431"/>
      <c r="C3" s="431"/>
      <c r="D3" s="431"/>
      <c r="E3" s="431"/>
      <c r="F3" s="431"/>
      <c r="G3" s="431"/>
      <c r="H3" s="431"/>
      <c r="I3" s="431"/>
      <c r="J3" s="431"/>
      <c r="K3" s="431"/>
      <c r="L3" s="431"/>
    </row>
    <row r="4" spans="1:14" ht="15" thickBot="1" x14ac:dyDescent="0.35">
      <c r="E4" s="102"/>
      <c r="F4" s="102"/>
      <c r="G4" s="102"/>
      <c r="H4" s="102"/>
      <c r="I4" s="102"/>
      <c r="J4" s="102"/>
      <c r="K4" s="102"/>
      <c r="L4" s="102"/>
    </row>
    <row r="5" spans="1:14" ht="15" thickBot="1" x14ac:dyDescent="0.35">
      <c r="A5" s="410" t="s">
        <v>98</v>
      </c>
      <c r="B5" s="411"/>
      <c r="C5" s="411"/>
      <c r="D5" s="411"/>
      <c r="E5" s="411"/>
      <c r="F5" s="411"/>
      <c r="G5" s="411"/>
      <c r="H5" s="411"/>
      <c r="I5" s="411"/>
      <c r="J5" s="411"/>
      <c r="K5" s="411"/>
      <c r="L5" s="412"/>
    </row>
    <row r="6" spans="1:14" ht="15" customHeight="1" x14ac:dyDescent="0.3">
      <c r="A6" s="424" t="s">
        <v>39</v>
      </c>
      <c r="B6" s="426" t="s">
        <v>40</v>
      </c>
      <c r="C6" s="434" t="s">
        <v>61</v>
      </c>
      <c r="D6" s="419" t="s">
        <v>42</v>
      </c>
      <c r="E6" s="421" t="s">
        <v>43</v>
      </c>
      <c r="F6" s="422"/>
      <c r="G6" s="422"/>
      <c r="H6" s="422"/>
      <c r="I6" s="422"/>
      <c r="J6" s="422"/>
      <c r="K6" s="422"/>
      <c r="L6" s="423"/>
    </row>
    <row r="7" spans="1:14" ht="60.75" customHeight="1" thickBot="1" x14ac:dyDescent="0.35">
      <c r="A7" s="425"/>
      <c r="B7" s="427"/>
      <c r="C7" s="435"/>
      <c r="D7" s="420"/>
      <c r="E7" s="198" t="s">
        <v>45</v>
      </c>
      <c r="F7" s="199" t="s">
        <v>46</v>
      </c>
      <c r="G7" s="199" t="s">
        <v>47</v>
      </c>
      <c r="H7" s="199" t="s">
        <v>48</v>
      </c>
      <c r="I7" s="199" t="s">
        <v>49</v>
      </c>
      <c r="J7" s="199" t="s">
        <v>50</v>
      </c>
      <c r="K7" s="199" t="s">
        <v>52</v>
      </c>
      <c r="L7" s="89" t="s">
        <v>53</v>
      </c>
    </row>
    <row r="8" spans="1:14" ht="15" thickTop="1" x14ac:dyDescent="0.3">
      <c r="A8" s="90" t="s">
        <v>83</v>
      </c>
      <c r="B8" s="385">
        <v>256.41199999999998</v>
      </c>
      <c r="C8" s="339">
        <v>61737554</v>
      </c>
      <c r="D8" s="340">
        <f>C8/B8/12</f>
        <v>20064.568610933446</v>
      </c>
      <c r="E8" s="341">
        <v>45884173</v>
      </c>
      <c r="F8" s="339">
        <v>5772198</v>
      </c>
      <c r="G8" s="339">
        <v>3355073</v>
      </c>
      <c r="H8" s="339">
        <v>4724302</v>
      </c>
      <c r="I8" s="339">
        <v>1559140</v>
      </c>
      <c r="J8" s="339">
        <v>21939</v>
      </c>
      <c r="K8" s="339">
        <v>303043</v>
      </c>
      <c r="L8" s="342">
        <v>117686</v>
      </c>
      <c r="N8" s="69"/>
    </row>
    <row r="9" spans="1:14" x14ac:dyDescent="0.3">
      <c r="A9" s="91" t="s">
        <v>10</v>
      </c>
      <c r="B9" s="386">
        <v>4.41</v>
      </c>
      <c r="C9" s="339">
        <v>1098553</v>
      </c>
      <c r="D9" s="340">
        <f>C9/B9/12</f>
        <v>20758.749055177625</v>
      </c>
      <c r="E9" s="387">
        <v>846293</v>
      </c>
      <c r="F9" s="377">
        <v>109541</v>
      </c>
      <c r="G9" s="377">
        <v>57355</v>
      </c>
      <c r="H9" s="377">
        <v>31000</v>
      </c>
      <c r="I9" s="377">
        <v>38888</v>
      </c>
      <c r="J9" s="377">
        <v>0</v>
      </c>
      <c r="K9" s="377">
        <v>1369</v>
      </c>
      <c r="L9" s="378">
        <v>14107</v>
      </c>
      <c r="N9" s="69"/>
    </row>
    <row r="10" spans="1:14" ht="20.399999999999999" x14ac:dyDescent="0.3">
      <c r="A10" s="91" t="s">
        <v>99</v>
      </c>
      <c r="B10" s="386">
        <v>12.872</v>
      </c>
      <c r="C10" s="339">
        <v>3284825</v>
      </c>
      <c r="D10" s="340">
        <f>C10/B10/12</f>
        <v>21265.958411021336</v>
      </c>
      <c r="E10" s="387">
        <v>2356898</v>
      </c>
      <c r="F10" s="377">
        <v>270885</v>
      </c>
      <c r="G10" s="377">
        <v>267063</v>
      </c>
      <c r="H10" s="377">
        <v>313610</v>
      </c>
      <c r="I10" s="377">
        <v>55507</v>
      </c>
      <c r="J10" s="377">
        <v>0</v>
      </c>
      <c r="K10" s="377">
        <v>8746</v>
      </c>
      <c r="L10" s="378">
        <v>12116</v>
      </c>
      <c r="N10" s="69"/>
    </row>
    <row r="11" spans="1:14" x14ac:dyDescent="0.3">
      <c r="A11" s="91" t="s">
        <v>27</v>
      </c>
      <c r="B11" s="388">
        <v>0</v>
      </c>
      <c r="C11" s="339">
        <f t="shared" ref="C11" si="0">SUM(E11:L11)</f>
        <v>0</v>
      </c>
      <c r="D11" s="340">
        <v>0</v>
      </c>
      <c r="E11" s="387">
        <v>0</v>
      </c>
      <c r="F11" s="377">
        <v>0</v>
      </c>
      <c r="G11" s="377">
        <v>0</v>
      </c>
      <c r="H11" s="377">
        <v>0</v>
      </c>
      <c r="I11" s="377">
        <v>0</v>
      </c>
      <c r="J11" s="377">
        <v>0</v>
      </c>
      <c r="K11" s="377">
        <v>0</v>
      </c>
      <c r="L11" s="378">
        <v>0</v>
      </c>
    </row>
    <row r="12" spans="1:14" x14ac:dyDescent="0.3">
      <c r="A12" s="92" t="s">
        <v>28</v>
      </c>
      <c r="B12" s="386">
        <v>52.33</v>
      </c>
      <c r="C12" s="339">
        <v>10313848</v>
      </c>
      <c r="D12" s="340">
        <f t="shared" ref="D12:D17" si="1">C12/B12/12</f>
        <v>16424.370979043251</v>
      </c>
      <c r="E12" s="387">
        <v>7841293</v>
      </c>
      <c r="F12" s="377">
        <v>984327</v>
      </c>
      <c r="G12" s="377">
        <v>563295</v>
      </c>
      <c r="H12" s="377">
        <v>628529</v>
      </c>
      <c r="I12" s="377">
        <v>196323</v>
      </c>
      <c r="J12" s="377">
        <v>52881</v>
      </c>
      <c r="K12" s="377">
        <v>28214</v>
      </c>
      <c r="L12" s="378">
        <v>18986</v>
      </c>
      <c r="N12" s="69"/>
    </row>
    <row r="13" spans="1:14" x14ac:dyDescent="0.3">
      <c r="A13" s="103" t="s">
        <v>8</v>
      </c>
      <c r="B13" s="386">
        <v>5.0999999999999997E-2</v>
      </c>
      <c r="C13" s="339">
        <v>8038</v>
      </c>
      <c r="D13" s="340">
        <f t="shared" si="1"/>
        <v>13133.986928104576</v>
      </c>
      <c r="E13" s="387">
        <v>7736</v>
      </c>
      <c r="F13" s="377">
        <v>0</v>
      </c>
      <c r="G13" s="377">
        <v>302</v>
      </c>
      <c r="H13" s="377">
        <v>0</v>
      </c>
      <c r="I13" s="377">
        <v>0</v>
      </c>
      <c r="J13" s="377">
        <v>0</v>
      </c>
      <c r="K13" s="377">
        <v>0</v>
      </c>
      <c r="L13" s="378">
        <v>0</v>
      </c>
      <c r="N13" s="69"/>
    </row>
    <row r="14" spans="1:14" ht="20.399999999999999" x14ac:dyDescent="0.3">
      <c r="A14" s="103" t="s">
        <v>101</v>
      </c>
      <c r="B14" s="386">
        <v>1.236</v>
      </c>
      <c r="C14" s="339">
        <v>369429</v>
      </c>
      <c r="D14" s="340">
        <f t="shared" si="1"/>
        <v>24907.564724919095</v>
      </c>
      <c r="E14" s="387">
        <v>282416</v>
      </c>
      <c r="F14" s="377">
        <v>30134</v>
      </c>
      <c r="G14" s="377">
        <v>19579</v>
      </c>
      <c r="H14" s="377">
        <v>37300</v>
      </c>
      <c r="I14" s="377">
        <v>0</v>
      </c>
      <c r="J14" s="377">
        <v>0</v>
      </c>
      <c r="K14" s="377">
        <v>0</v>
      </c>
      <c r="L14" s="378">
        <v>0</v>
      </c>
      <c r="N14" s="69"/>
    </row>
    <row r="15" spans="1:14" x14ac:dyDescent="0.3">
      <c r="A15" s="103" t="s">
        <v>11</v>
      </c>
      <c r="B15" s="386">
        <v>73.052999999999997</v>
      </c>
      <c r="C15" s="339">
        <v>18534712</v>
      </c>
      <c r="D15" s="340">
        <f t="shared" si="1"/>
        <v>21142.996637144723</v>
      </c>
      <c r="E15" s="387">
        <v>12165632</v>
      </c>
      <c r="F15" s="377">
        <v>1640942</v>
      </c>
      <c r="G15" s="377">
        <v>996181</v>
      </c>
      <c r="H15" s="377">
        <v>1062321</v>
      </c>
      <c r="I15" s="377">
        <v>142425</v>
      </c>
      <c r="J15" s="377">
        <v>30111</v>
      </c>
      <c r="K15" s="377">
        <v>257146</v>
      </c>
      <c r="L15" s="378">
        <v>2239955</v>
      </c>
      <c r="N15" s="69"/>
    </row>
    <row r="16" spans="1:14" ht="21" thickBot="1" x14ac:dyDescent="0.35">
      <c r="A16" s="93" t="s">
        <v>58</v>
      </c>
      <c r="B16" s="389">
        <v>65.331999999999994</v>
      </c>
      <c r="C16" s="390">
        <v>15038360</v>
      </c>
      <c r="D16" s="374">
        <f t="shared" si="1"/>
        <v>19181.973101491869</v>
      </c>
      <c r="E16" s="354">
        <v>10917806</v>
      </c>
      <c r="F16" s="352">
        <v>1651388</v>
      </c>
      <c r="G16" s="352">
        <v>724611</v>
      </c>
      <c r="H16" s="352">
        <v>919097</v>
      </c>
      <c r="I16" s="352">
        <v>266555</v>
      </c>
      <c r="J16" s="352">
        <v>43628</v>
      </c>
      <c r="K16" s="352">
        <v>91928</v>
      </c>
      <c r="L16" s="355">
        <v>423347</v>
      </c>
      <c r="N16" s="69"/>
    </row>
    <row r="17" spans="1:12" ht="15.6" thickTop="1" thickBot="1" x14ac:dyDescent="0.35">
      <c r="A17" s="117" t="s">
        <v>62</v>
      </c>
      <c r="B17" s="104">
        <f>SUM(B8:B16)</f>
        <v>465.69599999999997</v>
      </c>
      <c r="C17" s="105">
        <f>SUM(C8:C16)</f>
        <v>110385319</v>
      </c>
      <c r="D17" s="121">
        <f t="shared" si="1"/>
        <v>19752.749826782569</v>
      </c>
      <c r="E17" s="106">
        <f>SUM(E8:E16)</f>
        <v>80302247</v>
      </c>
      <c r="F17" s="105">
        <f>SUM(F8:F16)</f>
        <v>10459415</v>
      </c>
      <c r="G17" s="105">
        <f t="shared" ref="G17:L17" si="2">SUM(G8:G16)</f>
        <v>5983459</v>
      </c>
      <c r="H17" s="105">
        <f t="shared" si="2"/>
        <v>7716159</v>
      </c>
      <c r="I17" s="105">
        <f t="shared" si="2"/>
        <v>2258838</v>
      </c>
      <c r="J17" s="105">
        <f t="shared" si="2"/>
        <v>148559</v>
      </c>
      <c r="K17" s="105">
        <f t="shared" si="2"/>
        <v>690446</v>
      </c>
      <c r="L17" s="100">
        <f t="shared" si="2"/>
        <v>2826197</v>
      </c>
    </row>
    <row r="18" spans="1:12" x14ac:dyDescent="0.3">
      <c r="A18" s="180"/>
      <c r="B18" s="180"/>
      <c r="C18" s="222"/>
      <c r="D18" s="180"/>
      <c r="E18" s="180"/>
      <c r="F18" s="180"/>
      <c r="G18" s="180"/>
      <c r="H18" s="180"/>
      <c r="I18" s="180"/>
      <c r="J18" s="180"/>
      <c r="K18" s="180"/>
      <c r="L18" s="180"/>
    </row>
    <row r="20" spans="1:12" x14ac:dyDescent="0.3">
      <c r="B20" s="85"/>
    </row>
    <row r="21" spans="1:12" x14ac:dyDescent="0.3">
      <c r="B21" s="1" t="s">
        <v>1</v>
      </c>
    </row>
  </sheetData>
  <mergeCells count="7">
    <mergeCell ref="A3:L3"/>
    <mergeCell ref="A5:L5"/>
    <mergeCell ref="A6:A7"/>
    <mergeCell ref="B6:B7"/>
    <mergeCell ref="C6:C7"/>
    <mergeCell ref="D6:D7"/>
    <mergeCell ref="E6:L6"/>
  </mergeCells>
  <pageMargins left="0.7" right="0.7" top="0.78740157499999996" bottom="0.78740157499999996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3"/>
  <sheetViews>
    <sheetView workbookViewId="0">
      <selection activeCell="I9" sqref="I9"/>
    </sheetView>
  </sheetViews>
  <sheetFormatPr defaultColWidth="9.109375" defaultRowHeight="14.4" x14ac:dyDescent="0.3"/>
  <cols>
    <col min="1" max="1" width="18.33203125" style="204" customWidth="1"/>
    <col min="2" max="2" width="12.109375" style="1" customWidth="1"/>
    <col min="3" max="3" width="12.6640625" style="1" customWidth="1"/>
    <col min="4" max="4" width="10.33203125" style="1" customWidth="1"/>
    <col min="5" max="5" width="12.109375" style="1" customWidth="1"/>
    <col min="6" max="6" width="12.6640625" style="1" customWidth="1"/>
    <col min="7" max="7" width="12.109375" style="1" customWidth="1"/>
    <col min="8" max="8" width="9.109375" style="1"/>
    <col min="9" max="9" width="15.88671875" style="1" customWidth="1"/>
    <col min="10" max="10" width="9.109375" style="1"/>
    <col min="11" max="11" width="14.6640625" style="1" customWidth="1"/>
    <col min="12" max="12" width="14.109375" style="1" customWidth="1"/>
    <col min="13" max="16384" width="9.109375" style="1"/>
  </cols>
  <sheetData>
    <row r="2" spans="1:13" x14ac:dyDescent="0.3">
      <c r="A2" s="253"/>
      <c r="C2" s="200"/>
      <c r="D2" s="200"/>
      <c r="F2" s="200"/>
      <c r="G2" s="200"/>
    </row>
    <row r="3" spans="1:13" ht="15.6" x14ac:dyDescent="0.3">
      <c r="A3" s="3" t="s">
        <v>108</v>
      </c>
    </row>
    <row r="4" spans="1:13" ht="15" thickBot="1" x14ac:dyDescent="0.35"/>
    <row r="5" spans="1:13" ht="15" thickBot="1" x14ac:dyDescent="0.35">
      <c r="A5" s="460" t="s">
        <v>63</v>
      </c>
      <c r="B5" s="463" t="s">
        <v>81</v>
      </c>
      <c r="C5" s="464"/>
      <c r="D5" s="465"/>
      <c r="E5" s="463" t="s">
        <v>89</v>
      </c>
      <c r="F5" s="464"/>
      <c r="G5" s="465"/>
      <c r="H5" s="443" t="s">
        <v>109</v>
      </c>
      <c r="I5" s="444"/>
      <c r="J5" s="445"/>
    </row>
    <row r="6" spans="1:13" ht="15" customHeight="1" x14ac:dyDescent="0.3">
      <c r="A6" s="461"/>
      <c r="B6" s="466" t="s">
        <v>64</v>
      </c>
      <c r="C6" s="468" t="s">
        <v>65</v>
      </c>
      <c r="D6" s="452" t="s">
        <v>66</v>
      </c>
      <c r="E6" s="454" t="s">
        <v>64</v>
      </c>
      <c r="F6" s="456" t="s">
        <v>65</v>
      </c>
      <c r="G6" s="458" t="s">
        <v>66</v>
      </c>
      <c r="H6" s="446" t="s">
        <v>64</v>
      </c>
      <c r="I6" s="448" t="s">
        <v>65</v>
      </c>
      <c r="J6" s="450" t="s">
        <v>66</v>
      </c>
    </row>
    <row r="7" spans="1:13" ht="32.25" customHeight="1" thickBot="1" x14ac:dyDescent="0.35">
      <c r="A7" s="462"/>
      <c r="B7" s="467"/>
      <c r="C7" s="469"/>
      <c r="D7" s="453" t="s">
        <v>67</v>
      </c>
      <c r="E7" s="455"/>
      <c r="F7" s="457"/>
      <c r="G7" s="459" t="s">
        <v>67</v>
      </c>
      <c r="H7" s="447"/>
      <c r="I7" s="449"/>
      <c r="J7" s="451"/>
    </row>
    <row r="8" spans="1:13" x14ac:dyDescent="0.3">
      <c r="A8" s="223" t="s">
        <v>26</v>
      </c>
      <c r="B8" s="122">
        <v>945.43100000000004</v>
      </c>
      <c r="C8" s="123">
        <v>244199517</v>
      </c>
      <c r="D8" s="124">
        <v>21524.53193305487</v>
      </c>
      <c r="E8" s="122">
        <f>'14'!E6+'14'!E17+'14'!E28</f>
        <v>947.69599999999991</v>
      </c>
      <c r="F8" s="191">
        <f>'14'!F6+'14'!F17+'14'!F28</f>
        <v>254074097</v>
      </c>
      <c r="G8" s="124">
        <f>F8/E8/12</f>
        <v>22341.385229722047</v>
      </c>
      <c r="H8" s="125">
        <v>980.60599999999999</v>
      </c>
      <c r="I8" s="285">
        <v>281989471</v>
      </c>
      <c r="J8" s="256">
        <f>I8/H8/12</f>
        <v>23963.878033923243</v>
      </c>
      <c r="K8" s="235"/>
      <c r="L8" s="85"/>
      <c r="M8" s="69"/>
    </row>
    <row r="9" spans="1:13" x14ac:dyDescent="0.3">
      <c r="A9" s="227" t="s">
        <v>72</v>
      </c>
      <c r="B9" s="125">
        <v>2207.5660000000003</v>
      </c>
      <c r="C9" s="126">
        <v>662771160</v>
      </c>
      <c r="D9" s="127">
        <v>25018.92582147034</v>
      </c>
      <c r="E9" s="125">
        <f>'14'!E7+'14'!E18+'14'!E29</f>
        <v>2227.511</v>
      </c>
      <c r="F9" s="126">
        <f>'14'!F7+'14'!F18+'14'!F29</f>
        <v>705056268</v>
      </c>
      <c r="G9" s="127">
        <f t="shared" ref="G9:G14" si="0">F9/E9/12</f>
        <v>26376.83450272524</v>
      </c>
      <c r="H9" s="125">
        <v>2325.0239999999999</v>
      </c>
      <c r="I9" s="284">
        <v>800473309</v>
      </c>
      <c r="J9" s="256">
        <f t="shared" ref="J9:J14" si="1">I9/H9/12</f>
        <v>28690.5034456992</v>
      </c>
      <c r="K9" s="235"/>
      <c r="L9" s="85"/>
      <c r="M9" s="69"/>
    </row>
    <row r="10" spans="1:13" x14ac:dyDescent="0.3">
      <c r="A10" s="224" t="s">
        <v>27</v>
      </c>
      <c r="B10" s="125">
        <v>229.68700000000001</v>
      </c>
      <c r="C10" s="126">
        <v>60923887</v>
      </c>
      <c r="D10" s="127">
        <v>22103.952697946912</v>
      </c>
      <c r="E10" s="125">
        <f>'14'!E8+'14'!E19+'14'!E30</f>
        <v>236.619</v>
      </c>
      <c r="F10" s="126">
        <f>'14'!F8+'14'!F19+'14'!F30</f>
        <v>67205855</v>
      </c>
      <c r="G10" s="127">
        <f t="shared" si="0"/>
        <v>23668.800547152456</v>
      </c>
      <c r="H10" s="125">
        <v>241.458</v>
      </c>
      <c r="I10" s="257">
        <v>73039609</v>
      </c>
      <c r="J10" s="256">
        <f t="shared" si="1"/>
        <v>25207.837732994285</v>
      </c>
      <c r="K10" s="235"/>
      <c r="L10" s="85"/>
      <c r="M10" s="69"/>
    </row>
    <row r="11" spans="1:13" x14ac:dyDescent="0.3">
      <c r="A11" s="224" t="s">
        <v>28</v>
      </c>
      <c r="B11" s="125">
        <v>484.47</v>
      </c>
      <c r="C11" s="126">
        <v>84462851</v>
      </c>
      <c r="D11" s="127">
        <v>14528.393742990622</v>
      </c>
      <c r="E11" s="125">
        <f>'14'!E9+'14'!E20+'14'!E31</f>
        <v>487.14299999999992</v>
      </c>
      <c r="F11" s="126">
        <f>'14'!F9+'14'!F20+'14'!F31</f>
        <v>88385076</v>
      </c>
      <c r="G11" s="127">
        <f t="shared" si="0"/>
        <v>15119.632222981754</v>
      </c>
      <c r="H11" s="125">
        <v>481.24900000000002</v>
      </c>
      <c r="I11" s="257">
        <v>96897570</v>
      </c>
      <c r="J11" s="256">
        <f t="shared" si="1"/>
        <v>16778.834865111407</v>
      </c>
      <c r="K11" s="235"/>
      <c r="L11" s="85"/>
      <c r="M11" s="69"/>
    </row>
    <row r="12" spans="1:13" x14ac:dyDescent="0.3">
      <c r="A12" s="224" t="s">
        <v>13</v>
      </c>
      <c r="B12" s="125">
        <v>287.95600000000002</v>
      </c>
      <c r="C12" s="126">
        <v>94463112</v>
      </c>
      <c r="D12" s="127">
        <v>27337.252913639579</v>
      </c>
      <c r="E12" s="125">
        <f>'14'!E10+'14'!E21+'14'!E32</f>
        <v>293.08100000000002</v>
      </c>
      <c r="F12" s="126">
        <f>'14'!F10+'14'!F21+'14'!F32</f>
        <v>99937349</v>
      </c>
      <c r="G12" s="127">
        <f t="shared" si="0"/>
        <v>28415.736320903321</v>
      </c>
      <c r="H12" s="125">
        <v>297.06400000000002</v>
      </c>
      <c r="I12" s="257">
        <v>107753692</v>
      </c>
      <c r="J12" s="256">
        <f t="shared" si="1"/>
        <v>30227.40666433271</v>
      </c>
      <c r="K12" s="235"/>
      <c r="L12" s="85"/>
      <c r="M12" s="69"/>
    </row>
    <row r="13" spans="1:13" ht="15" thickBot="1" x14ac:dyDescent="0.35">
      <c r="A13" s="225" t="s">
        <v>15</v>
      </c>
      <c r="B13" s="128">
        <v>65.935000000000002</v>
      </c>
      <c r="C13" s="129">
        <v>19632574</v>
      </c>
      <c r="D13" s="130">
        <v>24813.040620813426</v>
      </c>
      <c r="E13" s="128">
        <f>'14'!E11+'14'!E22+'14'!E33</f>
        <v>65.284999999999997</v>
      </c>
      <c r="F13" s="129">
        <f>'14'!F11+'14'!F22+'14'!F33</f>
        <v>20584687</v>
      </c>
      <c r="G13" s="130">
        <f t="shared" si="0"/>
        <v>26275.416762400757</v>
      </c>
      <c r="H13" s="125">
        <v>70.247</v>
      </c>
      <c r="I13" s="257">
        <v>23903454</v>
      </c>
      <c r="J13" s="256">
        <f t="shared" si="1"/>
        <v>28356.435150255526</v>
      </c>
      <c r="K13" s="235"/>
      <c r="L13" s="85"/>
      <c r="M13" s="69"/>
    </row>
    <row r="14" spans="1:13" ht="19.5" customHeight="1" thickBot="1" x14ac:dyDescent="0.35">
      <c r="A14" s="213" t="s">
        <v>68</v>
      </c>
      <c r="B14" s="131">
        <v>4221.045000000001</v>
      </c>
      <c r="C14" s="132">
        <v>1166453101</v>
      </c>
      <c r="D14" s="133">
        <v>23028.521393004175</v>
      </c>
      <c r="E14" s="131">
        <f>SUM(E8:E13)</f>
        <v>4257.335</v>
      </c>
      <c r="F14" s="132">
        <f>SUM(F8:F13)</f>
        <v>1235243332</v>
      </c>
      <c r="G14" s="133">
        <f t="shared" si="0"/>
        <v>24178.727850482363</v>
      </c>
      <c r="H14" s="128">
        <f>SUM(H8:H13)</f>
        <v>4395.648000000001</v>
      </c>
      <c r="I14" s="258">
        <f>SUM(I8:I13)</f>
        <v>1384057105</v>
      </c>
      <c r="J14" s="286">
        <f t="shared" si="1"/>
        <v>26239.155656534214</v>
      </c>
      <c r="K14" s="235"/>
      <c r="L14" s="85"/>
      <c r="M14" s="69"/>
    </row>
    <row r="15" spans="1:13" x14ac:dyDescent="0.3">
      <c r="D15" s="175"/>
      <c r="E15" s="192"/>
      <c r="F15" s="193"/>
      <c r="G15" s="176"/>
    </row>
    <row r="16" spans="1:13" x14ac:dyDescent="0.3">
      <c r="E16" s="85"/>
      <c r="F16" s="69"/>
      <c r="G16" s="216"/>
    </row>
    <row r="17" spans="4:9" x14ac:dyDescent="0.3">
      <c r="E17" s="69"/>
      <c r="F17" s="69"/>
      <c r="H17" s="69"/>
      <c r="I17" s="69"/>
    </row>
    <row r="18" spans="4:9" x14ac:dyDescent="0.3">
      <c r="D18" s="205"/>
      <c r="E18" s="217"/>
      <c r="F18" s="217"/>
      <c r="H18" s="69"/>
      <c r="I18" s="69"/>
    </row>
    <row r="19" spans="4:9" x14ac:dyDescent="0.3">
      <c r="H19" s="69"/>
      <c r="I19" s="69"/>
    </row>
    <row r="20" spans="4:9" x14ac:dyDescent="0.3">
      <c r="H20" s="69"/>
      <c r="I20" s="69"/>
    </row>
    <row r="21" spans="4:9" x14ac:dyDescent="0.3">
      <c r="H21" s="69"/>
      <c r="I21" s="69"/>
    </row>
    <row r="22" spans="4:9" x14ac:dyDescent="0.3">
      <c r="H22" s="69"/>
      <c r="I22" s="69"/>
    </row>
    <row r="23" spans="4:9" x14ac:dyDescent="0.3">
      <c r="H23" s="69"/>
      <c r="I23" s="69"/>
    </row>
  </sheetData>
  <mergeCells count="13">
    <mergeCell ref="A5:A7"/>
    <mergeCell ref="B5:D5"/>
    <mergeCell ref="E5:G5"/>
    <mergeCell ref="B6:B7"/>
    <mergeCell ref="C6:C7"/>
    <mergeCell ref="H5:J5"/>
    <mergeCell ref="H6:H7"/>
    <mergeCell ref="I6:I7"/>
    <mergeCell ref="J6:J7"/>
    <mergeCell ref="D6:D7"/>
    <mergeCell ref="E6:E7"/>
    <mergeCell ref="F6:F7"/>
    <mergeCell ref="G6:G7"/>
  </mergeCells>
  <pageMargins left="0.7" right="0.7" top="0.78740157499999996" bottom="0.78740157499999996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workbookViewId="0">
      <selection activeCell="J37" sqref="J37"/>
    </sheetView>
  </sheetViews>
  <sheetFormatPr defaultColWidth="9.109375" defaultRowHeight="14.4" x14ac:dyDescent="0.3"/>
  <cols>
    <col min="1" max="1" width="18.33203125" style="204" customWidth="1"/>
    <col min="2" max="2" width="8.88671875" style="1" customWidth="1"/>
    <col min="3" max="3" width="12.44140625" style="1" customWidth="1"/>
    <col min="4" max="4" width="7.5546875" style="1" customWidth="1"/>
    <col min="5" max="5" width="9.33203125" style="1" customWidth="1"/>
    <col min="6" max="6" width="12.5546875" style="1" customWidth="1"/>
    <col min="7" max="7" width="7.44140625" style="1" customWidth="1"/>
    <col min="8" max="8" width="9.109375" style="1"/>
    <col min="9" max="9" width="12.88671875" style="1" customWidth="1"/>
    <col min="10" max="11" width="9.109375" style="1"/>
    <col min="12" max="12" width="10" style="1" bestFit="1" customWidth="1"/>
    <col min="13" max="16384" width="9.109375" style="1"/>
  </cols>
  <sheetData>
    <row r="1" spans="1:11" x14ac:dyDescent="0.3">
      <c r="A1" s="203" t="s">
        <v>82</v>
      </c>
    </row>
    <row r="2" spans="1:11" ht="15" thickBot="1" x14ac:dyDescent="0.35">
      <c r="A2" s="203" t="s">
        <v>1</v>
      </c>
      <c r="B2" s="200"/>
      <c r="C2" s="200"/>
      <c r="D2" s="200"/>
      <c r="F2" s="1" t="s">
        <v>1</v>
      </c>
      <c r="G2" s="1" t="s">
        <v>1</v>
      </c>
    </row>
    <row r="3" spans="1:11" ht="16.2" thickBot="1" x14ac:dyDescent="0.35">
      <c r="A3" s="487" t="s">
        <v>69</v>
      </c>
      <c r="B3" s="488"/>
      <c r="C3" s="488"/>
      <c r="D3" s="488"/>
      <c r="E3" s="488"/>
      <c r="F3" s="488"/>
      <c r="G3" s="488"/>
      <c r="H3" s="488"/>
      <c r="I3" s="488"/>
      <c r="J3" s="489"/>
    </row>
    <row r="4" spans="1:11" ht="15" thickBot="1" x14ac:dyDescent="0.35">
      <c r="A4" s="460" t="s">
        <v>63</v>
      </c>
      <c r="B4" s="484" t="s">
        <v>81</v>
      </c>
      <c r="C4" s="485"/>
      <c r="D4" s="486"/>
      <c r="E4" s="484" t="s">
        <v>89</v>
      </c>
      <c r="F4" s="485"/>
      <c r="G4" s="486"/>
      <c r="H4" s="463" t="s">
        <v>109</v>
      </c>
      <c r="I4" s="464"/>
      <c r="J4" s="465"/>
    </row>
    <row r="5" spans="1:11" ht="34.799999999999997" thickBot="1" x14ac:dyDescent="0.35">
      <c r="A5" s="462"/>
      <c r="B5" s="134" t="s">
        <v>64</v>
      </c>
      <c r="C5" s="135" t="s">
        <v>70</v>
      </c>
      <c r="D5" s="136" t="s">
        <v>66</v>
      </c>
      <c r="E5" s="134" t="s">
        <v>64</v>
      </c>
      <c r="F5" s="135" t="s">
        <v>70</v>
      </c>
      <c r="G5" s="136" t="s">
        <v>66</v>
      </c>
      <c r="H5" s="134" t="s">
        <v>64</v>
      </c>
      <c r="I5" s="135" t="s">
        <v>70</v>
      </c>
      <c r="J5" s="136" t="s">
        <v>66</v>
      </c>
    </row>
    <row r="6" spans="1:11" x14ac:dyDescent="0.3">
      <c r="A6" s="206" t="s">
        <v>26</v>
      </c>
      <c r="B6" s="122">
        <v>353.476</v>
      </c>
      <c r="C6" s="123">
        <v>90634971</v>
      </c>
      <c r="D6" s="124">
        <v>21367.544755513813</v>
      </c>
      <c r="E6" s="122">
        <v>356.15100000000001</v>
      </c>
      <c r="F6" s="123">
        <v>93864443</v>
      </c>
      <c r="G6" s="124">
        <f t="shared" ref="G6:G11" si="0">F6/E6/12</f>
        <v>21962.698172030028</v>
      </c>
      <c r="H6" s="290">
        <v>377.31099999999998</v>
      </c>
      <c r="I6" s="126">
        <v>106354290</v>
      </c>
      <c r="J6" s="127">
        <f>I6/H6/12</f>
        <v>23489.528532165772</v>
      </c>
    </row>
    <row r="7" spans="1:11" x14ac:dyDescent="0.3">
      <c r="A7" s="207" t="s">
        <v>72</v>
      </c>
      <c r="B7" s="125">
        <v>782.93200000000002</v>
      </c>
      <c r="C7" s="126">
        <v>236051538</v>
      </c>
      <c r="D7" s="137">
        <v>25124.738163723028</v>
      </c>
      <c r="E7" s="125">
        <v>793.72500000000002</v>
      </c>
      <c r="F7" s="126">
        <v>251225294</v>
      </c>
      <c r="G7" s="137">
        <f t="shared" si="0"/>
        <v>26376.189696263402</v>
      </c>
      <c r="H7" s="125">
        <v>824.33399999999995</v>
      </c>
      <c r="I7" s="126">
        <v>284142605</v>
      </c>
      <c r="J7" s="127">
        <f>I7/H7/12</f>
        <v>28724.461706864775</v>
      </c>
    </row>
    <row r="8" spans="1:11" x14ac:dyDescent="0.3">
      <c r="A8" s="208" t="s">
        <v>27</v>
      </c>
      <c r="B8" s="125">
        <v>105.979</v>
      </c>
      <c r="C8" s="126">
        <v>28487325</v>
      </c>
      <c r="D8" s="137">
        <v>22400.133517017519</v>
      </c>
      <c r="E8" s="125">
        <v>110.871</v>
      </c>
      <c r="F8" s="126">
        <v>31818449</v>
      </c>
      <c r="G8" s="137">
        <f t="shared" si="0"/>
        <v>23915.518184797347</v>
      </c>
      <c r="H8" s="125">
        <v>111.44799999999999</v>
      </c>
      <c r="I8" s="126">
        <v>33964405</v>
      </c>
      <c r="J8" s="127">
        <f>I8/H8/12</f>
        <v>25396.302161845288</v>
      </c>
    </row>
    <row r="9" spans="1:11" x14ac:dyDescent="0.3">
      <c r="A9" s="208" t="s">
        <v>28</v>
      </c>
      <c r="B9" s="125">
        <v>184.21299999999999</v>
      </c>
      <c r="C9" s="126">
        <v>32134319</v>
      </c>
      <c r="D9" s="137">
        <v>14536.758625431792</v>
      </c>
      <c r="E9" s="125">
        <v>185.65899999999999</v>
      </c>
      <c r="F9" s="126">
        <v>34057394</v>
      </c>
      <c r="G9" s="137">
        <f t="shared" si="0"/>
        <v>15286.714711738547</v>
      </c>
      <c r="H9" s="125">
        <v>179.38300000000001</v>
      </c>
      <c r="I9" s="126">
        <v>36576482</v>
      </c>
      <c r="J9" s="127">
        <f t="shared" ref="J9:J12" si="1">I9/H9/12</f>
        <v>16991.800597975653</v>
      </c>
    </row>
    <row r="10" spans="1:11" x14ac:dyDescent="0.3">
      <c r="A10" s="208" t="s">
        <v>13</v>
      </c>
      <c r="B10" s="125">
        <v>85.781000000000006</v>
      </c>
      <c r="C10" s="126">
        <v>28297574</v>
      </c>
      <c r="D10" s="137">
        <v>27490.133790310982</v>
      </c>
      <c r="E10" s="125">
        <v>86.72</v>
      </c>
      <c r="F10" s="126">
        <v>29736676</v>
      </c>
      <c r="G10" s="137">
        <f t="shared" si="0"/>
        <v>28575.372847478473</v>
      </c>
      <c r="H10" s="125">
        <v>88.763999999999996</v>
      </c>
      <c r="I10" s="126">
        <v>32554384</v>
      </c>
      <c r="J10" s="127">
        <f t="shared" si="1"/>
        <v>30562.67555916062</v>
      </c>
      <c r="K10" s="1" t="s">
        <v>1</v>
      </c>
    </row>
    <row r="11" spans="1:11" ht="15" thickBot="1" x14ac:dyDescent="0.35">
      <c r="A11" s="209" t="s">
        <v>15</v>
      </c>
      <c r="B11" s="138">
        <v>14.444000000000001</v>
      </c>
      <c r="C11" s="139">
        <v>4114625</v>
      </c>
      <c r="D11" s="137">
        <v>23738.951583125632</v>
      </c>
      <c r="E11" s="138">
        <v>14.289</v>
      </c>
      <c r="F11" s="139">
        <v>4456169</v>
      </c>
      <c r="G11" s="137">
        <f t="shared" si="0"/>
        <v>25988.341848041619</v>
      </c>
      <c r="H11" s="138">
        <v>18.332999999999998</v>
      </c>
      <c r="I11" s="139">
        <v>6280151</v>
      </c>
      <c r="J11" s="287">
        <f t="shared" si="1"/>
        <v>28546.659939271627</v>
      </c>
    </row>
    <row r="12" spans="1:11" ht="15" thickBot="1" x14ac:dyDescent="0.35">
      <c r="A12" s="210" t="s">
        <v>68</v>
      </c>
      <c r="B12" s="131">
        <v>1526.8249999999998</v>
      </c>
      <c r="C12" s="132">
        <v>419720352</v>
      </c>
      <c r="D12" s="140">
        <v>22908.123720793152</v>
      </c>
      <c r="E12" s="131">
        <f>SUM(E6:E11)</f>
        <v>1547.415</v>
      </c>
      <c r="F12" s="132">
        <f>SUM(F6:F11)</f>
        <v>445158425</v>
      </c>
      <c r="G12" s="140">
        <f>F12/E12/12</f>
        <v>23973.229816608131</v>
      </c>
      <c r="H12" s="131">
        <f>SUM(H6:H11)</f>
        <v>1599.5730000000001</v>
      </c>
      <c r="I12" s="132">
        <f>SUM(I6:I11)</f>
        <v>499872317</v>
      </c>
      <c r="J12" s="140">
        <f t="shared" si="1"/>
        <v>26041.966460215732</v>
      </c>
    </row>
    <row r="13" spans="1:11" ht="15" thickBot="1" x14ac:dyDescent="0.35"/>
    <row r="14" spans="1:11" ht="16.2" thickBot="1" x14ac:dyDescent="0.35">
      <c r="A14" s="470" t="s">
        <v>71</v>
      </c>
      <c r="B14" s="471"/>
      <c r="C14" s="471"/>
      <c r="D14" s="471"/>
      <c r="E14" s="471"/>
      <c r="F14" s="471"/>
      <c r="G14" s="471"/>
      <c r="H14" s="471"/>
      <c r="I14" s="471"/>
      <c r="J14" s="472"/>
    </row>
    <row r="15" spans="1:11" ht="15" thickBot="1" x14ac:dyDescent="0.35">
      <c r="A15" s="460" t="s">
        <v>63</v>
      </c>
      <c r="B15" s="484" t="s">
        <v>81</v>
      </c>
      <c r="C15" s="485"/>
      <c r="D15" s="486"/>
      <c r="E15" s="484" t="s">
        <v>89</v>
      </c>
      <c r="F15" s="485"/>
      <c r="G15" s="486"/>
      <c r="H15" s="463" t="s">
        <v>109</v>
      </c>
      <c r="I15" s="464"/>
      <c r="J15" s="465"/>
    </row>
    <row r="16" spans="1:11" ht="34.799999999999997" thickBot="1" x14ac:dyDescent="0.35">
      <c r="A16" s="462"/>
      <c r="B16" s="134" t="s">
        <v>64</v>
      </c>
      <c r="C16" s="135" t="s">
        <v>70</v>
      </c>
      <c r="D16" s="136" t="s">
        <v>66</v>
      </c>
      <c r="E16" s="134" t="s">
        <v>64</v>
      </c>
      <c r="F16" s="135" t="s">
        <v>70</v>
      </c>
      <c r="G16" s="136" t="s">
        <v>66</v>
      </c>
      <c r="H16" s="134" t="s">
        <v>64</v>
      </c>
      <c r="I16" s="135" t="s">
        <v>70</v>
      </c>
      <c r="J16" s="136" t="s">
        <v>66</v>
      </c>
    </row>
    <row r="17" spans="1:10" x14ac:dyDescent="0.3">
      <c r="A17" s="206" t="s">
        <v>26</v>
      </c>
      <c r="B17" s="141">
        <v>287.67500000000001</v>
      </c>
      <c r="C17" s="142">
        <v>75145110</v>
      </c>
      <c r="D17" s="137">
        <v>21767.941253150257</v>
      </c>
      <c r="E17" s="141">
        <v>285.67899999999997</v>
      </c>
      <c r="F17" s="142">
        <v>78237676</v>
      </c>
      <c r="G17" s="137">
        <f t="shared" ref="G17:G22" si="2">F17/E17/12</f>
        <v>22822.140701043249</v>
      </c>
      <c r="H17" s="125">
        <v>296.67399999999998</v>
      </c>
      <c r="I17" s="126">
        <v>87229553</v>
      </c>
      <c r="J17" s="127">
        <f>I17/H17/12</f>
        <v>24502.077757628464</v>
      </c>
    </row>
    <row r="18" spans="1:10" x14ac:dyDescent="0.3">
      <c r="A18" s="207" t="s">
        <v>72</v>
      </c>
      <c r="B18" s="143">
        <v>733.41700000000003</v>
      </c>
      <c r="C18" s="126">
        <v>212874980</v>
      </c>
      <c r="D18" s="137">
        <v>24187.579053480717</v>
      </c>
      <c r="E18" s="143">
        <v>741.37900000000002</v>
      </c>
      <c r="F18" s="126">
        <v>227889539</v>
      </c>
      <c r="G18" s="137">
        <f t="shared" si="2"/>
        <v>25615.501540597543</v>
      </c>
      <c r="H18" s="125">
        <v>778.226</v>
      </c>
      <c r="I18" s="126">
        <v>261652771</v>
      </c>
      <c r="J18" s="127">
        <f>I18/H18/12</f>
        <v>28018.079045590013</v>
      </c>
    </row>
    <row r="19" spans="1:10" x14ac:dyDescent="0.3">
      <c r="A19" s="208" t="s">
        <v>27</v>
      </c>
      <c r="B19" s="143">
        <v>64.813999999999993</v>
      </c>
      <c r="C19" s="126">
        <v>16785280</v>
      </c>
      <c r="D19" s="137">
        <v>21581.345594058901</v>
      </c>
      <c r="E19" s="143">
        <v>65.432000000000002</v>
      </c>
      <c r="F19" s="126">
        <v>18419380</v>
      </c>
      <c r="G19" s="137">
        <f t="shared" si="2"/>
        <v>23458.679748950566</v>
      </c>
      <c r="H19" s="125">
        <v>67.701999999999998</v>
      </c>
      <c r="I19" s="126">
        <v>20558010</v>
      </c>
      <c r="J19" s="127">
        <f>I19/H19/12</f>
        <v>25304.533100942368</v>
      </c>
    </row>
    <row r="20" spans="1:10" x14ac:dyDescent="0.3">
      <c r="A20" s="208" t="s">
        <v>28</v>
      </c>
      <c r="B20" s="143">
        <v>143.18600000000001</v>
      </c>
      <c r="C20" s="126">
        <v>24460709</v>
      </c>
      <c r="D20" s="137">
        <v>14235.975700603876</v>
      </c>
      <c r="E20" s="143">
        <v>144.54</v>
      </c>
      <c r="F20" s="126">
        <v>25537142</v>
      </c>
      <c r="G20" s="137">
        <f t="shared" si="2"/>
        <v>14723.2265578156</v>
      </c>
      <c r="H20" s="125">
        <v>145.49</v>
      </c>
      <c r="I20" s="126">
        <v>28774081</v>
      </c>
      <c r="J20" s="127">
        <f t="shared" ref="J20:J23" si="3">I20/H20/12</f>
        <v>16481.133296675602</v>
      </c>
    </row>
    <row r="21" spans="1:10" x14ac:dyDescent="0.3">
      <c r="A21" s="208" t="s">
        <v>13</v>
      </c>
      <c r="B21" s="143">
        <v>90.35</v>
      </c>
      <c r="C21" s="126">
        <v>27774053</v>
      </c>
      <c r="D21" s="137">
        <v>25617.09370964767</v>
      </c>
      <c r="E21" s="143">
        <v>92.516999999999996</v>
      </c>
      <c r="F21" s="126">
        <v>29421953</v>
      </c>
      <c r="G21" s="137">
        <f t="shared" si="2"/>
        <v>26501.393437602459</v>
      </c>
      <c r="H21" s="125">
        <v>93.783000000000001</v>
      </c>
      <c r="I21" s="126">
        <v>31166054</v>
      </c>
      <c r="J21" s="127">
        <f t="shared" si="3"/>
        <v>27693.4110304284</v>
      </c>
    </row>
    <row r="22" spans="1:10" ht="15" thickBot="1" x14ac:dyDescent="0.35">
      <c r="A22" s="209" t="s">
        <v>15</v>
      </c>
      <c r="B22" s="144">
        <v>25.983000000000001</v>
      </c>
      <c r="C22" s="139">
        <v>7262307</v>
      </c>
      <c r="D22" s="137">
        <v>23291.854289343031</v>
      </c>
      <c r="E22" s="144">
        <v>26.32</v>
      </c>
      <c r="F22" s="139">
        <v>7760264</v>
      </c>
      <c r="G22" s="137">
        <f t="shared" si="2"/>
        <v>24570.238095238095</v>
      </c>
      <c r="H22" s="138">
        <v>27.375</v>
      </c>
      <c r="I22" s="139">
        <v>8589847</v>
      </c>
      <c r="J22" s="287">
        <f t="shared" si="3"/>
        <v>26148.697108066972</v>
      </c>
    </row>
    <row r="23" spans="1:10" ht="15" thickBot="1" x14ac:dyDescent="0.35">
      <c r="A23" s="210" t="s">
        <v>68</v>
      </c>
      <c r="B23" s="131">
        <v>1345.425</v>
      </c>
      <c r="C23" s="132">
        <v>364302439</v>
      </c>
      <c r="D23" s="140">
        <v>22564.272689546677</v>
      </c>
      <c r="E23" s="131">
        <f>SUM(E17:E22)</f>
        <v>1355.867</v>
      </c>
      <c r="F23" s="132">
        <f>SUM(F17:F22)</f>
        <v>387265954</v>
      </c>
      <c r="G23" s="140">
        <f>F23/E23/12</f>
        <v>23801.864661750256</v>
      </c>
      <c r="H23" s="131">
        <f>SUM(H17:H22)</f>
        <v>1409.25</v>
      </c>
      <c r="I23" s="132">
        <f>SUM(I17:I22)</f>
        <v>437970316</v>
      </c>
      <c r="J23" s="140">
        <f t="shared" si="3"/>
        <v>25898.546271657502</v>
      </c>
    </row>
    <row r="24" spans="1:10" ht="15" thickBot="1" x14ac:dyDescent="0.35"/>
    <row r="25" spans="1:10" ht="16.2" thickBot="1" x14ac:dyDescent="0.35">
      <c r="A25" s="470" t="s">
        <v>73</v>
      </c>
      <c r="B25" s="471"/>
      <c r="C25" s="471"/>
      <c r="D25" s="471"/>
      <c r="E25" s="471"/>
      <c r="F25" s="471"/>
      <c r="G25" s="471"/>
      <c r="H25" s="471"/>
      <c r="I25" s="471"/>
      <c r="J25" s="472"/>
    </row>
    <row r="26" spans="1:10" ht="15" thickBot="1" x14ac:dyDescent="0.35">
      <c r="A26" s="460" t="s">
        <v>63</v>
      </c>
      <c r="B26" s="484" t="s">
        <v>81</v>
      </c>
      <c r="C26" s="485"/>
      <c r="D26" s="486"/>
      <c r="E26" s="484" t="s">
        <v>89</v>
      </c>
      <c r="F26" s="485"/>
      <c r="G26" s="486"/>
      <c r="H26" s="473" t="s">
        <v>109</v>
      </c>
      <c r="I26" s="474"/>
      <c r="J26" s="475"/>
    </row>
    <row r="27" spans="1:10" ht="34.799999999999997" thickBot="1" x14ac:dyDescent="0.35">
      <c r="A27" s="462"/>
      <c r="B27" s="134" t="s">
        <v>64</v>
      </c>
      <c r="C27" s="135" t="s">
        <v>70</v>
      </c>
      <c r="D27" s="136" t="s">
        <v>66</v>
      </c>
      <c r="E27" s="134" t="s">
        <v>64</v>
      </c>
      <c r="F27" s="135" t="s">
        <v>70</v>
      </c>
      <c r="G27" s="136" t="s">
        <v>66</v>
      </c>
      <c r="H27" s="134" t="s">
        <v>64</v>
      </c>
      <c r="I27" s="135" t="s">
        <v>70</v>
      </c>
      <c r="J27" s="136" t="s">
        <v>66</v>
      </c>
    </row>
    <row r="28" spans="1:10" x14ac:dyDescent="0.3">
      <c r="A28" s="206" t="s">
        <v>26</v>
      </c>
      <c r="B28" s="145">
        <v>304.27999999999997</v>
      </c>
      <c r="C28" s="202">
        <v>78419436</v>
      </c>
      <c r="D28" s="137">
        <v>21476.774681214672</v>
      </c>
      <c r="E28" s="145">
        <v>305.86599999999999</v>
      </c>
      <c r="F28" s="202">
        <v>81971978</v>
      </c>
      <c r="G28" s="137">
        <f t="shared" ref="G28:G33" si="4">F28/E28/12</f>
        <v>22333.303363782397</v>
      </c>
      <c r="H28" s="125">
        <v>306.62099999999998</v>
      </c>
      <c r="I28" s="126">
        <v>88405628</v>
      </c>
      <c r="J28" s="127">
        <f>I28/H28/12</f>
        <v>24026.846389081853</v>
      </c>
    </row>
    <row r="29" spans="1:10" x14ac:dyDescent="0.3">
      <c r="A29" s="207" t="s">
        <v>72</v>
      </c>
      <c r="B29" s="125">
        <v>691.21699999999998</v>
      </c>
      <c r="C29" s="126">
        <v>213844642</v>
      </c>
      <c r="D29" s="137">
        <v>25781.175569080817</v>
      </c>
      <c r="E29" s="125">
        <v>692.40700000000004</v>
      </c>
      <c r="F29" s="126">
        <v>225941435</v>
      </c>
      <c r="G29" s="137">
        <f t="shared" si="4"/>
        <v>27192.753563535123</v>
      </c>
      <c r="H29" s="125">
        <v>722.46400000000006</v>
      </c>
      <c r="I29" s="126">
        <v>254677933</v>
      </c>
      <c r="J29" s="127">
        <f t="shared" ref="J29:J34" si="5">I29/H29/12</f>
        <v>29376.081138068239</v>
      </c>
    </row>
    <row r="30" spans="1:10" x14ac:dyDescent="0.3">
      <c r="A30" s="208" t="s">
        <v>27</v>
      </c>
      <c r="B30" s="125">
        <v>58.893999999999998</v>
      </c>
      <c r="C30" s="126">
        <v>15651282</v>
      </c>
      <c r="D30" s="137">
        <v>22146.118450096783</v>
      </c>
      <c r="E30" s="125">
        <v>60.316000000000003</v>
      </c>
      <c r="F30" s="126">
        <v>16968026</v>
      </c>
      <c r="G30" s="137">
        <f t="shared" si="4"/>
        <v>23443.235073059663</v>
      </c>
      <c r="H30" s="125">
        <v>62.308</v>
      </c>
      <c r="I30" s="126">
        <v>18517194</v>
      </c>
      <c r="J30" s="127">
        <f t="shared" si="5"/>
        <v>24765.672144828914</v>
      </c>
    </row>
    <row r="31" spans="1:10" x14ac:dyDescent="0.3">
      <c r="A31" s="208" t="s">
        <v>28</v>
      </c>
      <c r="B31" s="125">
        <v>157.071</v>
      </c>
      <c r="C31" s="126">
        <v>27867823</v>
      </c>
      <c r="D31" s="137">
        <v>14785.151831549638</v>
      </c>
      <c r="E31" s="125">
        <v>156.94399999999999</v>
      </c>
      <c r="F31" s="126">
        <v>28790540</v>
      </c>
      <c r="G31" s="137">
        <f t="shared" si="4"/>
        <v>15287.05568015768</v>
      </c>
      <c r="H31" s="125">
        <v>156.376</v>
      </c>
      <c r="I31" s="126">
        <v>31547007</v>
      </c>
      <c r="J31" s="127">
        <f t="shared" si="5"/>
        <v>16811.513595436638</v>
      </c>
    </row>
    <row r="32" spans="1:10" x14ac:dyDescent="0.3">
      <c r="A32" s="208" t="s">
        <v>13</v>
      </c>
      <c r="B32" s="125">
        <v>111.825</v>
      </c>
      <c r="C32" s="126">
        <v>38391485</v>
      </c>
      <c r="D32" s="137">
        <v>28609.795811908491</v>
      </c>
      <c r="E32" s="125">
        <v>113.84399999999999</v>
      </c>
      <c r="F32" s="126">
        <v>40778720</v>
      </c>
      <c r="G32" s="137">
        <f t="shared" si="4"/>
        <v>29849.853015237226</v>
      </c>
      <c r="H32" s="125">
        <v>114.517</v>
      </c>
      <c r="I32" s="126">
        <v>44033254</v>
      </c>
      <c r="J32" s="127">
        <f t="shared" si="5"/>
        <v>32042.734557605712</v>
      </c>
    </row>
    <row r="33" spans="1:10" ht="15" thickBot="1" x14ac:dyDescent="0.35">
      <c r="A33" s="209" t="s">
        <v>15</v>
      </c>
      <c r="B33" s="138">
        <v>25.507999999999999</v>
      </c>
      <c r="C33" s="139">
        <v>8255642</v>
      </c>
      <c r="D33" s="137">
        <v>26970.760807067065</v>
      </c>
      <c r="E33" s="138">
        <v>24.675999999999998</v>
      </c>
      <c r="F33" s="139">
        <v>8368254.0000000009</v>
      </c>
      <c r="G33" s="137">
        <f t="shared" si="4"/>
        <v>28260.435240719733</v>
      </c>
      <c r="H33" s="138">
        <v>24.539000000000001</v>
      </c>
      <c r="I33" s="139">
        <v>9033456</v>
      </c>
      <c r="J33" s="287">
        <f t="shared" si="5"/>
        <v>30677.20771017564</v>
      </c>
    </row>
    <row r="34" spans="1:10" ht="15" thickBot="1" x14ac:dyDescent="0.35">
      <c r="A34" s="210" t="s">
        <v>68</v>
      </c>
      <c r="B34" s="131">
        <v>1348.7949999999998</v>
      </c>
      <c r="C34" s="132">
        <v>382430310</v>
      </c>
      <c r="D34" s="140">
        <v>23627.899347195093</v>
      </c>
      <c r="E34" s="131">
        <f>SUM(E28:E33)</f>
        <v>1354.0529999999999</v>
      </c>
      <c r="F34" s="132">
        <f>SUM(F28:F33)</f>
        <v>402818953</v>
      </c>
      <c r="G34" s="140">
        <f>F34/E34/12</f>
        <v>24790.939559480565</v>
      </c>
      <c r="H34" s="131">
        <f>SUM(H28:H33)</f>
        <v>1386.825</v>
      </c>
      <c r="I34" s="270">
        <f>SUM(I28:I33)</f>
        <v>446214472</v>
      </c>
      <c r="J34" s="140">
        <f t="shared" si="5"/>
        <v>26812.712010046929</v>
      </c>
    </row>
    <row r="35" spans="1:10" ht="15" thickBot="1" x14ac:dyDescent="0.35"/>
    <row r="36" spans="1:10" ht="15" thickBot="1" x14ac:dyDescent="0.35">
      <c r="A36" s="479" t="s">
        <v>74</v>
      </c>
      <c r="B36" s="481" t="s">
        <v>81</v>
      </c>
      <c r="C36" s="482"/>
      <c r="D36" s="483"/>
      <c r="E36" s="481" t="s">
        <v>89</v>
      </c>
      <c r="F36" s="482"/>
      <c r="G36" s="483"/>
      <c r="H36" s="476" t="s">
        <v>109</v>
      </c>
      <c r="I36" s="477"/>
      <c r="J36" s="478"/>
    </row>
    <row r="37" spans="1:10" ht="15" thickBot="1" x14ac:dyDescent="0.35">
      <c r="A37" s="480"/>
      <c r="B37" s="147">
        <v>4221.0450000000001</v>
      </c>
      <c r="C37" s="148">
        <v>1166453101</v>
      </c>
      <c r="D37" s="149">
        <v>23028.521393004179</v>
      </c>
      <c r="E37" s="147">
        <f>E12+E23+E34</f>
        <v>4257.335</v>
      </c>
      <c r="F37" s="148">
        <f>F12+F23+F34</f>
        <v>1235243332</v>
      </c>
      <c r="G37" s="149">
        <f>F37/E37/12</f>
        <v>24178.727850482363</v>
      </c>
      <c r="H37" s="288">
        <f>H12+H23+H34</f>
        <v>4395.6480000000001</v>
      </c>
      <c r="I37" s="289">
        <f>I12+I23+I34</f>
        <v>1384057105</v>
      </c>
      <c r="J37" s="291">
        <f>I37/H37/12</f>
        <v>26239.155656534218</v>
      </c>
    </row>
    <row r="39" spans="1:10" x14ac:dyDescent="0.3">
      <c r="B39" s="85"/>
    </row>
  </sheetData>
  <mergeCells count="19">
    <mergeCell ref="A14:J14"/>
    <mergeCell ref="A4:A5"/>
    <mergeCell ref="B4:D4"/>
    <mergeCell ref="E4:G4"/>
    <mergeCell ref="A3:J3"/>
    <mergeCell ref="H4:J4"/>
    <mergeCell ref="H15:J15"/>
    <mergeCell ref="A25:J25"/>
    <mergeCell ref="H26:J26"/>
    <mergeCell ref="H36:J36"/>
    <mergeCell ref="A36:A37"/>
    <mergeCell ref="B36:D36"/>
    <mergeCell ref="E36:G36"/>
    <mergeCell ref="A15:A16"/>
    <mergeCell ref="B15:D15"/>
    <mergeCell ref="E15:G15"/>
    <mergeCell ref="A26:A27"/>
    <mergeCell ref="B26:D26"/>
    <mergeCell ref="E26:G26"/>
  </mergeCells>
  <pageMargins left="0.23622047244094491" right="0.23622047244094491" top="0.78740157480314965" bottom="0.78740157480314965" header="0.31496062992125984" footer="0.31496062992125984"/>
  <pageSetup paperSize="9" scale="9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25"/>
  <sheetViews>
    <sheetView tabSelected="1" workbookViewId="0">
      <selection activeCell="P14" sqref="P14"/>
    </sheetView>
  </sheetViews>
  <sheetFormatPr defaultColWidth="9.109375" defaultRowHeight="14.4" x14ac:dyDescent="0.3"/>
  <cols>
    <col min="1" max="1" width="13.5546875" style="204" customWidth="1"/>
    <col min="2" max="2" width="12.109375" style="2" customWidth="1"/>
    <col min="3" max="3" width="13.6640625" style="2" customWidth="1"/>
    <col min="4" max="5" width="12.109375" style="2" customWidth="1"/>
    <col min="6" max="6" width="14.109375" style="2" customWidth="1"/>
    <col min="7" max="7" width="12.109375" style="2" customWidth="1"/>
    <col min="8" max="8" width="9.109375" style="1"/>
    <col min="9" max="9" width="13.109375" style="1" customWidth="1"/>
    <col min="10" max="10" width="11.88671875" style="1" customWidth="1"/>
    <col min="11" max="11" width="14.5546875" style="1" customWidth="1"/>
    <col min="12" max="12" width="11.88671875" style="1" customWidth="1"/>
    <col min="13" max="16384" width="9.109375" style="1"/>
  </cols>
  <sheetData>
    <row r="3" spans="1:12" x14ac:dyDescent="0.3">
      <c r="A3" s="254" t="s">
        <v>111</v>
      </c>
      <c r="B3" s="254"/>
      <c r="C3" s="254"/>
      <c r="D3" s="254"/>
      <c r="E3" s="255"/>
      <c r="F3" s="255"/>
      <c r="G3" s="255"/>
    </row>
    <row r="4" spans="1:12" ht="15" thickBot="1" x14ac:dyDescent="0.35"/>
    <row r="5" spans="1:12" ht="15" thickBot="1" x14ac:dyDescent="0.35">
      <c r="A5" s="490" t="s">
        <v>63</v>
      </c>
      <c r="B5" s="463" t="s">
        <v>81</v>
      </c>
      <c r="C5" s="464"/>
      <c r="D5" s="465"/>
      <c r="E5" s="463" t="s">
        <v>89</v>
      </c>
      <c r="F5" s="464"/>
      <c r="G5" s="465"/>
      <c r="H5" s="443" t="s">
        <v>109</v>
      </c>
      <c r="I5" s="444"/>
      <c r="J5" s="445"/>
    </row>
    <row r="6" spans="1:12" ht="15" customHeight="1" x14ac:dyDescent="0.3">
      <c r="A6" s="491"/>
      <c r="B6" s="466" t="s">
        <v>64</v>
      </c>
      <c r="C6" s="468" t="s">
        <v>65</v>
      </c>
      <c r="D6" s="452" t="s">
        <v>66</v>
      </c>
      <c r="E6" s="454" t="s">
        <v>64</v>
      </c>
      <c r="F6" s="456" t="s">
        <v>65</v>
      </c>
      <c r="G6" s="458" t="s">
        <v>66</v>
      </c>
      <c r="H6" s="466" t="s">
        <v>64</v>
      </c>
      <c r="I6" s="468" t="s">
        <v>65</v>
      </c>
      <c r="J6" s="452" t="s">
        <v>66</v>
      </c>
    </row>
    <row r="7" spans="1:12" ht="32.25" customHeight="1" thickBot="1" x14ac:dyDescent="0.35">
      <c r="A7" s="492"/>
      <c r="B7" s="467"/>
      <c r="C7" s="469"/>
      <c r="D7" s="453" t="s">
        <v>67</v>
      </c>
      <c r="E7" s="455"/>
      <c r="F7" s="457"/>
      <c r="G7" s="459" t="s">
        <v>67</v>
      </c>
      <c r="H7" s="467"/>
      <c r="I7" s="469"/>
      <c r="J7" s="453"/>
    </row>
    <row r="8" spans="1:12" x14ac:dyDescent="0.3">
      <c r="A8" s="226" t="s">
        <v>13</v>
      </c>
      <c r="B8" s="152">
        <v>50.676000000000002</v>
      </c>
      <c r="C8" s="150">
        <v>15534692</v>
      </c>
      <c r="D8" s="151">
        <v>25545.774462598991</v>
      </c>
      <c r="E8" s="152">
        <f>'16'!E7+'16'!E22+'16'!E37</f>
        <v>50.832999999999998</v>
      </c>
      <c r="F8" s="150">
        <f>'16'!F7+'16'!F22+'16'!F37</f>
        <v>16295023</v>
      </c>
      <c r="G8" s="151">
        <f>F8/E8/12</f>
        <v>26713.327628377894</v>
      </c>
      <c r="H8" s="259">
        <v>48.795999999999999</v>
      </c>
      <c r="I8" s="142">
        <v>16542644</v>
      </c>
      <c r="J8" s="137">
        <f>I8/H8/12</f>
        <v>28251.366232204829</v>
      </c>
      <c r="K8" s="233"/>
      <c r="L8" s="69"/>
    </row>
    <row r="9" spans="1:12" x14ac:dyDescent="0.3">
      <c r="A9" s="55" t="s">
        <v>9</v>
      </c>
      <c r="B9" s="152">
        <v>1187.31</v>
      </c>
      <c r="C9" s="150">
        <v>369389721</v>
      </c>
      <c r="D9" s="151">
        <v>25926.23388163159</v>
      </c>
      <c r="E9" s="152">
        <f>'16'!E8+'16'!E23+'16'!E38</f>
        <v>1164.98</v>
      </c>
      <c r="F9" s="150">
        <f>'16'!F8+'16'!F23+'16'!F38</f>
        <v>387576316</v>
      </c>
      <c r="G9" s="151">
        <f t="shared" ref="G9:G17" si="0">F9/E9/12</f>
        <v>27724.103704212375</v>
      </c>
      <c r="H9" s="260">
        <v>1162.3710000000001</v>
      </c>
      <c r="I9" s="126">
        <v>412751450</v>
      </c>
      <c r="J9" s="137">
        <f t="shared" ref="J9:J21" si="1">I9/H9/12</f>
        <v>29591.201231505827</v>
      </c>
      <c r="K9" s="233"/>
      <c r="L9" s="69"/>
    </row>
    <row r="10" spans="1:12" x14ac:dyDescent="0.3">
      <c r="A10" s="55" t="s">
        <v>10</v>
      </c>
      <c r="B10" s="152">
        <v>32.35</v>
      </c>
      <c r="C10" s="150">
        <v>11255740</v>
      </c>
      <c r="D10" s="151">
        <v>28994.693456980938</v>
      </c>
      <c r="E10" s="152">
        <f>'16'!E9+'16'!E24+'16'!E39</f>
        <v>31.905999999999999</v>
      </c>
      <c r="F10" s="150">
        <f>'16'!F9+'16'!F24+'16'!F39</f>
        <v>11300797</v>
      </c>
      <c r="G10" s="151">
        <f t="shared" si="0"/>
        <v>29515.86169790426</v>
      </c>
      <c r="H10" s="260">
        <v>31.632999999999999</v>
      </c>
      <c r="I10" s="126">
        <v>11541608</v>
      </c>
      <c r="J10" s="137">
        <f t="shared" si="1"/>
        <v>30404.977923898041</v>
      </c>
      <c r="K10" s="233"/>
      <c r="L10" s="69"/>
    </row>
    <row r="11" spans="1:12" x14ac:dyDescent="0.3">
      <c r="A11" s="227" t="s">
        <v>75</v>
      </c>
      <c r="B11" s="152">
        <v>76.781999999999996</v>
      </c>
      <c r="C11" s="150">
        <v>24279487</v>
      </c>
      <c r="D11" s="151">
        <v>26351.105510840218</v>
      </c>
      <c r="E11" s="152">
        <f>'16'!E10+'16'!E25+'16'!E40</f>
        <v>77.957999999999998</v>
      </c>
      <c r="F11" s="150">
        <f>'16'!F10+'16'!F25+'16'!F40</f>
        <v>27253687.000000004</v>
      </c>
      <c r="G11" s="151">
        <f t="shared" si="0"/>
        <v>29132.873897910846</v>
      </c>
      <c r="H11" s="261">
        <v>75.730999999999995</v>
      </c>
      <c r="I11" s="262">
        <v>27372180</v>
      </c>
      <c r="J11" s="137">
        <f t="shared" si="1"/>
        <v>30119.964083400457</v>
      </c>
      <c r="K11" s="264"/>
      <c r="L11" s="69"/>
    </row>
    <row r="12" spans="1:12" x14ac:dyDescent="0.3">
      <c r="A12" s="55" t="s">
        <v>76</v>
      </c>
      <c r="B12" s="152">
        <v>46.408000000000001</v>
      </c>
      <c r="C12" s="150">
        <v>14334928</v>
      </c>
      <c r="D12" s="151">
        <v>25740.76308682411</v>
      </c>
      <c r="E12" s="152">
        <f>'16'!E11+'16'!E26+'16'!E41</f>
        <v>49.287999999999997</v>
      </c>
      <c r="F12" s="150">
        <f>'16'!F11+'16'!F26+'16'!F41</f>
        <v>16578207.999999998</v>
      </c>
      <c r="G12" s="151">
        <f t="shared" si="0"/>
        <v>28029.486555212894</v>
      </c>
      <c r="H12" s="260">
        <v>49.667999999999999</v>
      </c>
      <c r="I12" s="126">
        <v>17911242</v>
      </c>
      <c r="J12" s="137">
        <f t="shared" si="1"/>
        <v>30051.612708383665</v>
      </c>
      <c r="K12" s="233"/>
      <c r="L12" s="69"/>
    </row>
    <row r="13" spans="1:12" x14ac:dyDescent="0.3">
      <c r="A13" s="55" t="s">
        <v>12</v>
      </c>
      <c r="B13" s="152">
        <v>94.504999999999995</v>
      </c>
      <c r="C13" s="150">
        <v>23222137</v>
      </c>
      <c r="D13" s="151">
        <v>20476.991517203674</v>
      </c>
      <c r="E13" s="152">
        <f>'16'!E12+'16'!E27+'16'!E42</f>
        <v>94.387000000000015</v>
      </c>
      <c r="F13" s="150">
        <f>'16'!F12+'16'!F27+'16'!F42</f>
        <v>25249179</v>
      </c>
      <c r="G13" s="151">
        <f t="shared" si="0"/>
        <v>22292.246283916214</v>
      </c>
      <c r="H13" s="260">
        <v>98.471999999999994</v>
      </c>
      <c r="I13" s="126">
        <v>27819813</v>
      </c>
      <c r="J13" s="137">
        <f t="shared" si="1"/>
        <v>23542.913213908523</v>
      </c>
      <c r="K13" s="233"/>
      <c r="L13" s="69"/>
    </row>
    <row r="14" spans="1:12" x14ac:dyDescent="0.3">
      <c r="A14" s="55" t="s">
        <v>15</v>
      </c>
      <c r="B14" s="152">
        <v>10.161</v>
      </c>
      <c r="C14" s="150">
        <v>2816515</v>
      </c>
      <c r="D14" s="151">
        <v>23099.063412393793</v>
      </c>
      <c r="E14" s="152">
        <f>'16'!E13+'16'!E28+'16'!E43</f>
        <v>10.305999999999999</v>
      </c>
      <c r="F14" s="150">
        <f>'16'!F13+'16'!F28+'16'!F43</f>
        <v>3072039</v>
      </c>
      <c r="G14" s="151">
        <f t="shared" si="0"/>
        <v>24840.214438191349</v>
      </c>
      <c r="H14" s="260">
        <v>8.1319999999999997</v>
      </c>
      <c r="I14" s="126">
        <v>2152033</v>
      </c>
      <c r="J14" s="137">
        <f t="shared" si="1"/>
        <v>22053.133710444337</v>
      </c>
      <c r="K14" s="233"/>
      <c r="L14" s="69"/>
    </row>
    <row r="15" spans="1:12" x14ac:dyDescent="0.3">
      <c r="A15" s="55" t="s">
        <v>34</v>
      </c>
      <c r="B15" s="152">
        <v>8.4849999999999994</v>
      </c>
      <c r="C15" s="150">
        <v>2606606</v>
      </c>
      <c r="D15" s="151">
        <v>25600.137497544685</v>
      </c>
      <c r="E15" s="152">
        <f>'16'!E14+'16'!E29+'16'!E44</f>
        <v>9.0779999999999994</v>
      </c>
      <c r="F15" s="150">
        <f>'16'!F14+'16'!F29+'16'!F44</f>
        <v>2696674</v>
      </c>
      <c r="G15" s="151">
        <f t="shared" si="0"/>
        <v>24754.663288536391</v>
      </c>
      <c r="H15" s="260">
        <v>10.71</v>
      </c>
      <c r="I15" s="126">
        <v>3423115</v>
      </c>
      <c r="J15" s="137">
        <f t="shared" si="1"/>
        <v>26634.881730469962</v>
      </c>
      <c r="K15" s="233"/>
      <c r="L15" s="69"/>
    </row>
    <row r="16" spans="1:12" x14ac:dyDescent="0.3">
      <c r="A16" s="55" t="s">
        <v>77</v>
      </c>
      <c r="B16" s="152">
        <v>142.98400000000001</v>
      </c>
      <c r="C16" s="150">
        <v>40075143</v>
      </c>
      <c r="D16" s="151">
        <v>23356.426243495775</v>
      </c>
      <c r="E16" s="152">
        <f>'16'!E15+'16'!E30+'16'!E45</f>
        <v>147.28700000000001</v>
      </c>
      <c r="F16" s="150">
        <f>'16'!F15+'16'!F30+'16'!F45</f>
        <v>43076909</v>
      </c>
      <c r="G16" s="151">
        <f t="shared" si="0"/>
        <v>24372.432167582112</v>
      </c>
      <c r="H16" s="260">
        <v>148.697</v>
      </c>
      <c r="I16" s="126">
        <v>46425492</v>
      </c>
      <c r="J16" s="137">
        <f t="shared" si="1"/>
        <v>26017.949252506776</v>
      </c>
      <c r="K16" s="233"/>
      <c r="L16" s="69"/>
    </row>
    <row r="17" spans="1:12" x14ac:dyDescent="0.3">
      <c r="A17" s="272" t="s">
        <v>28</v>
      </c>
      <c r="B17" s="271">
        <v>54.194000000000003</v>
      </c>
      <c r="C17" s="150">
        <v>9179871</v>
      </c>
      <c r="D17" s="151">
        <v>14115.755434180906</v>
      </c>
      <c r="E17" s="152">
        <f>'16'!E16+'16'!E31+'16'!E46</f>
        <v>51.653000000000006</v>
      </c>
      <c r="F17" s="150">
        <f>'16'!F16+'16'!F31+'16'!F46</f>
        <v>9863717</v>
      </c>
      <c r="G17" s="151">
        <f t="shared" si="0"/>
        <v>15913.430326731585</v>
      </c>
      <c r="H17" s="260">
        <v>52.33</v>
      </c>
      <c r="I17" s="126">
        <v>10313848</v>
      </c>
      <c r="J17" s="137">
        <f t="shared" si="1"/>
        <v>16424.370979043251</v>
      </c>
      <c r="K17" s="233"/>
      <c r="L17" s="69"/>
    </row>
    <row r="18" spans="1:12" x14ac:dyDescent="0.3">
      <c r="A18" s="272" t="s">
        <v>112</v>
      </c>
      <c r="B18" s="1"/>
      <c r="C18" s="1"/>
      <c r="D18" s="263"/>
      <c r="E18" s="281"/>
      <c r="F18" s="277"/>
      <c r="G18" s="279"/>
      <c r="H18" s="275">
        <v>3.6949999999999998</v>
      </c>
      <c r="I18" s="267">
        <v>784999</v>
      </c>
      <c r="J18" s="126">
        <f t="shared" si="1"/>
        <v>17704.082092918357</v>
      </c>
      <c r="K18" s="233"/>
      <c r="L18" s="69"/>
    </row>
    <row r="19" spans="1:12" ht="22.8" x14ac:dyDescent="0.3">
      <c r="A19" s="273" t="s">
        <v>113</v>
      </c>
      <c r="B19" s="1"/>
      <c r="C19" s="1"/>
      <c r="D19" s="263"/>
      <c r="E19" s="282"/>
      <c r="F19" s="266"/>
      <c r="G19" s="263"/>
      <c r="H19" s="275">
        <v>14.276</v>
      </c>
      <c r="I19" s="267">
        <v>5592237</v>
      </c>
      <c r="J19" s="126">
        <f t="shared" si="1"/>
        <v>32643.580134491454</v>
      </c>
      <c r="K19" s="233"/>
      <c r="L19" s="69"/>
    </row>
    <row r="20" spans="1:12" ht="15" thickBot="1" x14ac:dyDescent="0.35">
      <c r="A20" s="274" t="s">
        <v>8</v>
      </c>
      <c r="B20" s="1"/>
      <c r="C20" s="1"/>
      <c r="D20" s="263"/>
      <c r="E20" s="283"/>
      <c r="F20" s="278"/>
      <c r="G20" s="280"/>
      <c r="H20" s="276">
        <v>4.1150000000000002</v>
      </c>
      <c r="I20" s="268">
        <v>1601475</v>
      </c>
      <c r="J20" s="139">
        <f t="shared" si="1"/>
        <v>32431.652490886994</v>
      </c>
      <c r="K20" s="233"/>
      <c r="L20" s="69"/>
    </row>
    <row r="21" spans="1:12" ht="15" thickBot="1" x14ac:dyDescent="0.35">
      <c r="A21" s="228" t="s">
        <v>68</v>
      </c>
      <c r="B21" s="153">
        <v>1703.8549999999993</v>
      </c>
      <c r="C21" s="154">
        <v>512694840</v>
      </c>
      <c r="D21" s="155">
        <v>25075.238209824205</v>
      </c>
      <c r="E21" s="153">
        <f>SUM(E8:E17)</f>
        <v>1687.6760000000002</v>
      </c>
      <c r="F21" s="154">
        <f>SUM(F8:F17)</f>
        <v>542962549</v>
      </c>
      <c r="G21" s="155">
        <f>F21/E21/12</f>
        <v>26810.169181367353</v>
      </c>
      <c r="H21" s="269">
        <f>SUM(H8:H20)</f>
        <v>1708.626</v>
      </c>
      <c r="I21" s="270">
        <f>SUM(I8:I20)</f>
        <v>584232136</v>
      </c>
      <c r="J21" s="265">
        <f t="shared" si="1"/>
        <v>28494.247034361721</v>
      </c>
      <c r="K21" s="233"/>
      <c r="L21" s="69"/>
    </row>
    <row r="22" spans="1:12" x14ac:dyDescent="0.3">
      <c r="A22" s="172"/>
      <c r="B22" s="174"/>
      <c r="C22" s="174"/>
      <c r="D22" s="173"/>
      <c r="E22" s="192"/>
      <c r="F22" s="193"/>
      <c r="G22" s="173"/>
    </row>
    <row r="23" spans="1:12" x14ac:dyDescent="0.3">
      <c r="A23" s="172"/>
      <c r="B23" s="173"/>
      <c r="C23" s="173"/>
      <c r="D23" s="174"/>
      <c r="E23" s="173"/>
      <c r="F23" s="218"/>
      <c r="G23" s="173"/>
    </row>
    <row r="24" spans="1:12" x14ac:dyDescent="0.3">
      <c r="E24" s="219"/>
      <c r="F24" s="146"/>
      <c r="G24" s="146"/>
    </row>
    <row r="25" spans="1:12" x14ac:dyDescent="0.3">
      <c r="E25" s="220"/>
      <c r="F25" s="221"/>
      <c r="G25" s="221"/>
    </row>
  </sheetData>
  <mergeCells count="13">
    <mergeCell ref="A5:A7"/>
    <mergeCell ref="B5:D5"/>
    <mergeCell ref="E5:G5"/>
    <mergeCell ref="B6:B7"/>
    <mergeCell ref="C6:C7"/>
    <mergeCell ref="H5:J5"/>
    <mergeCell ref="H6:H7"/>
    <mergeCell ref="I6:I7"/>
    <mergeCell ref="J6:J7"/>
    <mergeCell ref="D6:D7"/>
    <mergeCell ref="E6:E7"/>
    <mergeCell ref="F6:F7"/>
    <mergeCell ref="G6:G7"/>
  </mergeCells>
  <pageMargins left="0.7" right="0.7" top="0.78740157499999996" bottom="0.78740157499999996" header="0.3" footer="0.3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topLeftCell="A34" workbookViewId="0">
      <selection activeCell="J54" sqref="J54"/>
    </sheetView>
  </sheetViews>
  <sheetFormatPr defaultColWidth="9.109375" defaultRowHeight="14.4" x14ac:dyDescent="0.3"/>
  <cols>
    <col min="1" max="1" width="15.88671875" style="204" customWidth="1"/>
    <col min="2" max="2" width="8.5546875" style="1" customWidth="1"/>
    <col min="3" max="3" width="10.109375" style="1" customWidth="1"/>
    <col min="4" max="4" width="9.109375" style="1" customWidth="1"/>
    <col min="5" max="5" width="8.5546875" style="1" customWidth="1"/>
    <col min="6" max="6" width="9.5546875" style="1" customWidth="1"/>
    <col min="7" max="7" width="10.6640625" style="1" customWidth="1"/>
    <col min="8" max="8" width="9.33203125" style="1" bestFit="1" customWidth="1"/>
    <col min="9" max="9" width="10.109375" style="1" customWidth="1"/>
    <col min="10" max="10" width="8.33203125" style="1" customWidth="1"/>
    <col min="11" max="11" width="9.109375" style="1"/>
    <col min="12" max="12" width="10" style="1" bestFit="1" customWidth="1"/>
    <col min="13" max="16384" width="9.109375" style="1"/>
  </cols>
  <sheetData>
    <row r="1" spans="1:10" ht="10.5" customHeight="1" x14ac:dyDescent="0.3">
      <c r="A1" s="203" t="s">
        <v>1</v>
      </c>
    </row>
    <row r="2" spans="1:10" ht="29.25" customHeight="1" x14ac:dyDescent="0.3">
      <c r="A2" s="502" t="s">
        <v>78</v>
      </c>
      <c r="B2" s="502"/>
      <c r="C2" s="502"/>
      <c r="D2" s="502"/>
      <c r="E2" s="503"/>
      <c r="F2" s="503"/>
      <c r="G2" s="503"/>
    </row>
    <row r="3" spans="1:10" ht="15" thickBot="1" x14ac:dyDescent="0.35">
      <c r="A3" s="201"/>
      <c r="B3" s="200"/>
      <c r="C3" s="200"/>
      <c r="D3" s="200"/>
      <c r="G3" s="1" t="s">
        <v>1</v>
      </c>
    </row>
    <row r="4" spans="1:10" ht="16.2" thickBot="1" x14ac:dyDescent="0.35">
      <c r="A4" s="470" t="s">
        <v>69</v>
      </c>
      <c r="B4" s="471"/>
      <c r="C4" s="471"/>
      <c r="D4" s="471"/>
      <c r="E4" s="471"/>
      <c r="F4" s="471"/>
      <c r="G4" s="471"/>
      <c r="H4" s="471"/>
      <c r="I4" s="471"/>
      <c r="J4" s="472"/>
    </row>
    <row r="5" spans="1:10" ht="15" thickBot="1" x14ac:dyDescent="0.35">
      <c r="A5" s="460" t="s">
        <v>63</v>
      </c>
      <c r="B5" s="484" t="s">
        <v>81</v>
      </c>
      <c r="C5" s="485"/>
      <c r="D5" s="486"/>
      <c r="E5" s="484" t="s">
        <v>89</v>
      </c>
      <c r="F5" s="485"/>
      <c r="G5" s="486"/>
      <c r="H5" s="493" t="s">
        <v>109</v>
      </c>
      <c r="I5" s="494"/>
      <c r="J5" s="495"/>
    </row>
    <row r="6" spans="1:10" ht="58.2" thickBot="1" x14ac:dyDescent="0.35">
      <c r="A6" s="461"/>
      <c r="B6" s="156" t="s">
        <v>64</v>
      </c>
      <c r="C6" s="157" t="s">
        <v>70</v>
      </c>
      <c r="D6" s="158" t="s">
        <v>66</v>
      </c>
      <c r="E6" s="156" t="s">
        <v>64</v>
      </c>
      <c r="F6" s="157" t="s">
        <v>70</v>
      </c>
      <c r="G6" s="158" t="s">
        <v>66</v>
      </c>
      <c r="H6" s="301" t="s">
        <v>64</v>
      </c>
      <c r="I6" s="302" t="s">
        <v>70</v>
      </c>
      <c r="J6" s="303" t="s">
        <v>66</v>
      </c>
    </row>
    <row r="7" spans="1:10" x14ac:dyDescent="0.3">
      <c r="A7" s="206" t="s">
        <v>13</v>
      </c>
      <c r="B7" s="159">
        <v>50.676000000000002</v>
      </c>
      <c r="C7" s="160">
        <v>15534692</v>
      </c>
      <c r="D7" s="161">
        <v>25545.774462598991</v>
      </c>
      <c r="E7" s="159">
        <v>50.832999999999998</v>
      </c>
      <c r="F7" s="160">
        <v>16295023</v>
      </c>
      <c r="G7" s="161">
        <f t="shared" ref="G7:G16" si="0">F7/E7/12</f>
        <v>26713.327628377894</v>
      </c>
      <c r="H7" s="292">
        <v>48.795999999999999</v>
      </c>
      <c r="I7" s="293">
        <v>16542644</v>
      </c>
      <c r="J7" s="294">
        <f>I7/H7/12</f>
        <v>28251.366232204829</v>
      </c>
    </row>
    <row r="8" spans="1:10" x14ac:dyDescent="0.3">
      <c r="A8" s="208" t="s">
        <v>9</v>
      </c>
      <c r="B8" s="162">
        <v>569.75599999999997</v>
      </c>
      <c r="C8" s="40">
        <v>179675262</v>
      </c>
      <c r="D8" s="41">
        <v>26279.562654890866</v>
      </c>
      <c r="E8" s="162">
        <v>568.96800000000007</v>
      </c>
      <c r="F8" s="40">
        <v>193144833</v>
      </c>
      <c r="G8" s="41">
        <f t="shared" si="0"/>
        <v>28288.766239929129</v>
      </c>
      <c r="H8" s="292">
        <v>568.30899999999997</v>
      </c>
      <c r="I8" s="293">
        <v>205343798</v>
      </c>
      <c r="J8" s="294">
        <f t="shared" ref="J8:J17" si="1">I8/H8/12</f>
        <v>30110.350472483577</v>
      </c>
    </row>
    <row r="9" spans="1:10" x14ac:dyDescent="0.3">
      <c r="A9" s="208" t="s">
        <v>10</v>
      </c>
      <c r="B9" s="162">
        <v>27.497</v>
      </c>
      <c r="C9" s="40">
        <v>9518008</v>
      </c>
      <c r="D9" s="41">
        <v>28845.595277060525</v>
      </c>
      <c r="E9" s="162">
        <v>26.97</v>
      </c>
      <c r="F9" s="40">
        <v>9588403</v>
      </c>
      <c r="G9" s="41">
        <f t="shared" si="0"/>
        <v>29626.755036460265</v>
      </c>
      <c r="H9" s="292">
        <v>27.382999999999999</v>
      </c>
      <c r="I9" s="293">
        <v>10049381</v>
      </c>
      <c r="J9" s="294">
        <f t="shared" si="1"/>
        <v>30582.785548211177</v>
      </c>
    </row>
    <row r="10" spans="1:10" x14ac:dyDescent="0.3">
      <c r="A10" s="211" t="s">
        <v>75</v>
      </c>
      <c r="B10" s="162">
        <v>71.207999999999998</v>
      </c>
      <c r="C10" s="40">
        <v>22292074</v>
      </c>
      <c r="D10" s="41">
        <v>26087.979346889861</v>
      </c>
      <c r="E10" s="162">
        <v>72.457999999999998</v>
      </c>
      <c r="F10" s="40">
        <v>25046050.000000004</v>
      </c>
      <c r="G10" s="41">
        <f t="shared" si="0"/>
        <v>28805.250397931683</v>
      </c>
      <c r="H10" s="292">
        <v>75.730999999999995</v>
      </c>
      <c r="I10" s="293">
        <v>27372180</v>
      </c>
      <c r="J10" s="294">
        <f t="shared" si="1"/>
        <v>30119.964083400457</v>
      </c>
    </row>
    <row r="11" spans="1:10" x14ac:dyDescent="0.3">
      <c r="A11" s="208" t="s">
        <v>76</v>
      </c>
      <c r="B11" s="162">
        <v>46.408000000000001</v>
      </c>
      <c r="C11" s="40">
        <v>14334928</v>
      </c>
      <c r="D11" s="41">
        <v>25740.76308682411</v>
      </c>
      <c r="E11" s="162">
        <v>49.287999999999997</v>
      </c>
      <c r="F11" s="40">
        <v>16578207.999999998</v>
      </c>
      <c r="G11" s="41">
        <f t="shared" si="0"/>
        <v>28029.486555212894</v>
      </c>
      <c r="H11" s="292">
        <v>49.667999999999999</v>
      </c>
      <c r="I11" s="293">
        <v>17911242</v>
      </c>
      <c r="J11" s="294">
        <f t="shared" si="1"/>
        <v>30051.612708383665</v>
      </c>
    </row>
    <row r="12" spans="1:10" x14ac:dyDescent="0.3">
      <c r="A12" s="208" t="s">
        <v>12</v>
      </c>
      <c r="B12" s="162">
        <v>60.161999999999999</v>
      </c>
      <c r="C12" s="40">
        <v>14500049</v>
      </c>
      <c r="D12" s="41">
        <v>20084.728178362864</v>
      </c>
      <c r="E12" s="162">
        <v>58.651000000000003</v>
      </c>
      <c r="F12" s="40">
        <v>15826786</v>
      </c>
      <c r="G12" s="41">
        <f t="shared" si="0"/>
        <v>22487.235227589186</v>
      </c>
      <c r="H12" s="292">
        <v>61.58</v>
      </c>
      <c r="I12" s="293">
        <v>17718160</v>
      </c>
      <c r="J12" s="294">
        <f t="shared" si="1"/>
        <v>23977.157085633866</v>
      </c>
    </row>
    <row r="13" spans="1:10" x14ac:dyDescent="0.3">
      <c r="A13" s="208" t="s">
        <v>15</v>
      </c>
      <c r="B13" s="162">
        <v>10.161</v>
      </c>
      <c r="C13" s="40">
        <v>2816515</v>
      </c>
      <c r="D13" s="41">
        <v>23099.063412393793</v>
      </c>
      <c r="E13" s="162">
        <v>10.305999999999999</v>
      </c>
      <c r="F13" s="40">
        <v>3072039</v>
      </c>
      <c r="G13" s="41">
        <f t="shared" si="0"/>
        <v>24840.214438191349</v>
      </c>
      <c r="H13" s="292">
        <v>8.1319999999999997</v>
      </c>
      <c r="I13" s="293">
        <v>2152033</v>
      </c>
      <c r="J13" s="294">
        <f t="shared" si="1"/>
        <v>22053.133710444337</v>
      </c>
    </row>
    <row r="14" spans="1:10" x14ac:dyDescent="0.3">
      <c r="A14" s="208" t="s">
        <v>34</v>
      </c>
      <c r="B14" s="162">
        <v>8.4849999999999994</v>
      </c>
      <c r="C14" s="40">
        <v>2606606</v>
      </c>
      <c r="D14" s="41">
        <v>25600.137497544685</v>
      </c>
      <c r="E14" s="162">
        <v>9.0779999999999994</v>
      </c>
      <c r="F14" s="40">
        <v>2696674</v>
      </c>
      <c r="G14" s="41">
        <f t="shared" si="0"/>
        <v>24754.663288536391</v>
      </c>
      <c r="H14" s="292">
        <v>10.71</v>
      </c>
      <c r="I14" s="293">
        <v>3423115</v>
      </c>
      <c r="J14" s="294">
        <f t="shared" si="1"/>
        <v>26634.881730469962</v>
      </c>
    </row>
    <row r="15" spans="1:10" x14ac:dyDescent="0.3">
      <c r="A15" s="208" t="s">
        <v>77</v>
      </c>
      <c r="B15" s="162">
        <v>39.29</v>
      </c>
      <c r="C15" s="40">
        <v>11230475</v>
      </c>
      <c r="D15" s="41">
        <v>23819.621192839568</v>
      </c>
      <c r="E15" s="162">
        <v>43.01</v>
      </c>
      <c r="F15" s="40">
        <v>12101570</v>
      </c>
      <c r="G15" s="41">
        <f t="shared" si="0"/>
        <v>23447.202201038523</v>
      </c>
      <c r="H15" s="292">
        <v>57.584000000000003</v>
      </c>
      <c r="I15" s="293">
        <v>18029776</v>
      </c>
      <c r="J15" s="294">
        <f t="shared" si="1"/>
        <v>26091.993146244324</v>
      </c>
    </row>
    <row r="16" spans="1:10" ht="15" thickBot="1" x14ac:dyDescent="0.35">
      <c r="A16" s="212" t="s">
        <v>28</v>
      </c>
      <c r="B16" s="163">
        <v>29.539000000000001</v>
      </c>
      <c r="C16" s="164">
        <v>4686340</v>
      </c>
      <c r="D16" s="41">
        <v>13220.770281097306</v>
      </c>
      <c r="E16" s="163">
        <v>26.710999999999999</v>
      </c>
      <c r="F16" s="164">
        <v>5216396</v>
      </c>
      <c r="G16" s="41">
        <f t="shared" si="0"/>
        <v>16274.181672968691</v>
      </c>
      <c r="H16" s="295">
        <v>28.23</v>
      </c>
      <c r="I16" s="296">
        <v>5479050</v>
      </c>
      <c r="J16" s="297">
        <f t="shared" si="1"/>
        <v>16173.839886645414</v>
      </c>
    </row>
    <row r="17" spans="1:12" ht="15" thickBot="1" x14ac:dyDescent="0.35">
      <c r="A17" s="210" t="s">
        <v>68</v>
      </c>
      <c r="B17" s="165">
        <v>913.1819999999999</v>
      </c>
      <c r="C17" s="166">
        <v>277194949</v>
      </c>
      <c r="D17" s="167">
        <v>25295.701276780903</v>
      </c>
      <c r="E17" s="165">
        <f>SUM(E7:E16)</f>
        <v>916.27300000000002</v>
      </c>
      <c r="F17" s="166">
        <f>SUM(F7:F16)</f>
        <v>299565982</v>
      </c>
      <c r="G17" s="167">
        <f t="shared" ref="G17" si="2">F17/E17/12</f>
        <v>27244.971567789657</v>
      </c>
      <c r="H17" s="298">
        <f>SUM(H7:H16)</f>
        <v>936.12300000000005</v>
      </c>
      <c r="I17" s="299">
        <f>SUM(I7:I16)</f>
        <v>324021379</v>
      </c>
      <c r="J17" s="300">
        <f t="shared" si="1"/>
        <v>28844.266814652918</v>
      </c>
      <c r="K17" s="85"/>
      <c r="L17" s="69"/>
    </row>
    <row r="18" spans="1:12" ht="15" thickBot="1" x14ac:dyDescent="0.35"/>
    <row r="19" spans="1:12" ht="16.2" thickBot="1" x14ac:dyDescent="0.35">
      <c r="A19" s="470" t="s">
        <v>71</v>
      </c>
      <c r="B19" s="471"/>
      <c r="C19" s="471"/>
      <c r="D19" s="471"/>
      <c r="E19" s="471"/>
      <c r="F19" s="471"/>
      <c r="G19" s="471"/>
      <c r="H19" s="471"/>
      <c r="I19" s="471"/>
      <c r="J19" s="472"/>
    </row>
    <row r="20" spans="1:12" ht="15" thickBot="1" x14ac:dyDescent="0.35">
      <c r="A20" s="460" t="s">
        <v>63</v>
      </c>
      <c r="B20" s="484" t="s">
        <v>81</v>
      </c>
      <c r="C20" s="485"/>
      <c r="D20" s="486"/>
      <c r="E20" s="484" t="s">
        <v>89</v>
      </c>
      <c r="F20" s="485"/>
      <c r="G20" s="486"/>
      <c r="H20" s="463" t="s">
        <v>109</v>
      </c>
      <c r="I20" s="464"/>
      <c r="J20" s="465"/>
    </row>
    <row r="21" spans="1:12" ht="58.2" thickBot="1" x14ac:dyDescent="0.35">
      <c r="A21" s="462"/>
      <c r="B21" s="156" t="s">
        <v>64</v>
      </c>
      <c r="C21" s="157" t="s">
        <v>70</v>
      </c>
      <c r="D21" s="158" t="s">
        <v>66</v>
      </c>
      <c r="E21" s="156" t="s">
        <v>64</v>
      </c>
      <c r="F21" s="157" t="s">
        <v>70</v>
      </c>
      <c r="G21" s="158" t="s">
        <v>66</v>
      </c>
      <c r="H21" s="156" t="s">
        <v>64</v>
      </c>
      <c r="I21" s="157" t="s">
        <v>70</v>
      </c>
      <c r="J21" s="158" t="s">
        <v>66</v>
      </c>
    </row>
    <row r="22" spans="1:12" x14ac:dyDescent="0.3">
      <c r="A22" s="206" t="s">
        <v>13</v>
      </c>
      <c r="B22" s="159">
        <v>0</v>
      </c>
      <c r="C22" s="160">
        <v>0</v>
      </c>
      <c r="D22" s="161">
        <v>0</v>
      </c>
      <c r="E22" s="159">
        <v>0</v>
      </c>
      <c r="F22" s="160">
        <v>0</v>
      </c>
      <c r="G22" s="161">
        <v>0</v>
      </c>
      <c r="H22" s="292">
        <v>0</v>
      </c>
      <c r="I22" s="293">
        <v>0</v>
      </c>
      <c r="J22" s="294">
        <v>0</v>
      </c>
    </row>
    <row r="23" spans="1:12" x14ac:dyDescent="0.3">
      <c r="A23" s="208" t="s">
        <v>9</v>
      </c>
      <c r="B23" s="162">
        <v>286.90699999999998</v>
      </c>
      <c r="C23" s="40">
        <v>88806849</v>
      </c>
      <c r="D23" s="41">
        <v>25794.319239335397</v>
      </c>
      <c r="E23" s="162">
        <v>285.166</v>
      </c>
      <c r="F23" s="40">
        <v>94001781.999999985</v>
      </c>
      <c r="G23" s="41">
        <f t="shared" ref="G23:G31" si="3">F23/E23/12</f>
        <v>27469.901156986922</v>
      </c>
      <c r="H23" s="292">
        <v>287.51900000000001</v>
      </c>
      <c r="I23" s="293">
        <v>101114360</v>
      </c>
      <c r="J23" s="294">
        <f>I23/H23/12</f>
        <v>29306.573362687912</v>
      </c>
    </row>
    <row r="24" spans="1:12" x14ac:dyDescent="0.3">
      <c r="A24" s="208" t="s">
        <v>10</v>
      </c>
      <c r="B24" s="168">
        <v>0</v>
      </c>
      <c r="C24" s="34">
        <v>0</v>
      </c>
      <c r="D24" s="35">
        <v>0</v>
      </c>
      <c r="E24" s="168">
        <v>0</v>
      </c>
      <c r="F24" s="34">
        <v>0</v>
      </c>
      <c r="G24" s="35">
        <v>0</v>
      </c>
      <c r="H24" s="292">
        <v>0</v>
      </c>
      <c r="I24" s="293">
        <v>0</v>
      </c>
      <c r="J24" s="294">
        <v>0</v>
      </c>
    </row>
    <row r="25" spans="1:12" x14ac:dyDescent="0.3">
      <c r="A25" s="211" t="s">
        <v>75</v>
      </c>
      <c r="B25" s="162">
        <v>0</v>
      </c>
      <c r="C25" s="40">
        <v>0</v>
      </c>
      <c r="D25" s="41">
        <v>0</v>
      </c>
      <c r="E25" s="162">
        <v>0</v>
      </c>
      <c r="F25" s="40">
        <v>0</v>
      </c>
      <c r="G25" s="41">
        <v>0</v>
      </c>
      <c r="H25" s="292">
        <v>0</v>
      </c>
      <c r="I25" s="293">
        <v>0</v>
      </c>
      <c r="J25" s="294">
        <v>0</v>
      </c>
    </row>
    <row r="26" spans="1:12" x14ac:dyDescent="0.3">
      <c r="A26" s="208" t="s">
        <v>76</v>
      </c>
      <c r="B26" s="162">
        <v>0</v>
      </c>
      <c r="C26" s="40">
        <v>0</v>
      </c>
      <c r="D26" s="41">
        <v>0</v>
      </c>
      <c r="E26" s="162">
        <v>0</v>
      </c>
      <c r="F26" s="40">
        <v>0</v>
      </c>
      <c r="G26" s="41">
        <v>0</v>
      </c>
      <c r="H26" s="292">
        <v>0</v>
      </c>
      <c r="I26" s="293">
        <v>0</v>
      </c>
      <c r="J26" s="294">
        <v>0</v>
      </c>
    </row>
    <row r="27" spans="1:12" x14ac:dyDescent="0.3">
      <c r="A27" s="208" t="s">
        <v>12</v>
      </c>
      <c r="B27" s="162">
        <v>10.898</v>
      </c>
      <c r="C27" s="40">
        <v>2428322</v>
      </c>
      <c r="D27" s="41">
        <v>18568.559980424543</v>
      </c>
      <c r="E27" s="162">
        <v>12.512</v>
      </c>
      <c r="F27" s="40">
        <v>2852142</v>
      </c>
      <c r="G27" s="41">
        <f t="shared" si="3"/>
        <v>18996.043797953964</v>
      </c>
      <c r="H27" s="292">
        <v>13.449</v>
      </c>
      <c r="I27" s="293">
        <v>3184276</v>
      </c>
      <c r="J27" s="294">
        <f>I27/H27/12</f>
        <v>19730.562371427863</v>
      </c>
    </row>
    <row r="28" spans="1:12" x14ac:dyDescent="0.3">
      <c r="A28" s="208" t="s">
        <v>15</v>
      </c>
      <c r="B28" s="162">
        <v>0</v>
      </c>
      <c r="C28" s="40">
        <v>0</v>
      </c>
      <c r="D28" s="41">
        <v>0</v>
      </c>
      <c r="E28" s="162">
        <v>0</v>
      </c>
      <c r="F28" s="40">
        <v>0</v>
      </c>
      <c r="G28" s="41">
        <v>0</v>
      </c>
      <c r="H28" s="292">
        <v>0</v>
      </c>
      <c r="I28" s="293">
        <v>0</v>
      </c>
      <c r="J28" s="294">
        <v>0</v>
      </c>
    </row>
    <row r="29" spans="1:12" x14ac:dyDescent="0.3">
      <c r="A29" s="208" t="s">
        <v>34</v>
      </c>
      <c r="B29" s="162">
        <v>0</v>
      </c>
      <c r="C29" s="40">
        <v>0</v>
      </c>
      <c r="D29" s="41">
        <v>0</v>
      </c>
      <c r="E29" s="162">
        <v>0</v>
      </c>
      <c r="F29" s="40">
        <v>0</v>
      </c>
      <c r="G29" s="41">
        <v>0</v>
      </c>
      <c r="H29" s="292">
        <v>0</v>
      </c>
      <c r="I29" s="293">
        <v>0</v>
      </c>
      <c r="J29" s="294">
        <v>0</v>
      </c>
    </row>
    <row r="30" spans="1:12" x14ac:dyDescent="0.3">
      <c r="A30" s="209" t="s">
        <v>11</v>
      </c>
      <c r="B30" s="162">
        <v>0</v>
      </c>
      <c r="C30" s="40">
        <v>0</v>
      </c>
      <c r="D30" s="41">
        <v>0</v>
      </c>
      <c r="E30" s="162">
        <v>0</v>
      </c>
      <c r="F30" s="40">
        <v>0</v>
      </c>
      <c r="G30" s="41">
        <v>0</v>
      </c>
      <c r="H30" s="292">
        <v>0</v>
      </c>
      <c r="I30" s="293">
        <v>0</v>
      </c>
      <c r="J30" s="294">
        <v>0</v>
      </c>
    </row>
    <row r="31" spans="1:12" ht="15" thickBot="1" x14ac:dyDescent="0.35">
      <c r="A31" s="209" t="s">
        <v>28</v>
      </c>
      <c r="B31" s="162">
        <v>6.3170000000000002</v>
      </c>
      <c r="C31" s="40">
        <v>1108060</v>
      </c>
      <c r="D31" s="41">
        <v>14617.434436177509</v>
      </c>
      <c r="E31" s="162">
        <v>6.5540000000000003</v>
      </c>
      <c r="F31" s="40">
        <v>1254440</v>
      </c>
      <c r="G31" s="41">
        <f t="shared" si="3"/>
        <v>15950.055945478589</v>
      </c>
      <c r="H31" s="295">
        <v>6.1479999999999997</v>
      </c>
      <c r="I31" s="296">
        <v>1308347</v>
      </c>
      <c r="J31" s="297">
        <f>I31/H31/12</f>
        <v>17734.046302320541</v>
      </c>
    </row>
    <row r="32" spans="1:12" ht="15" thickBot="1" x14ac:dyDescent="0.35">
      <c r="A32" s="213" t="s">
        <v>68</v>
      </c>
      <c r="B32" s="165">
        <v>304.12200000000001</v>
      </c>
      <c r="C32" s="166">
        <v>92343231</v>
      </c>
      <c r="D32" s="167">
        <v>25303.231104622482</v>
      </c>
      <c r="E32" s="165">
        <f>SUM(E22:E31)</f>
        <v>304.23199999999997</v>
      </c>
      <c r="F32" s="166">
        <f>SUM(F22:F31)</f>
        <v>98108363.999999985</v>
      </c>
      <c r="G32" s="167">
        <f>F32/E32/12</f>
        <v>26873.231612716609</v>
      </c>
      <c r="H32" s="298">
        <f>SUM(H22:H31)</f>
        <v>307.11600000000004</v>
      </c>
      <c r="I32" s="299">
        <f>SUM(I22:I31)</f>
        <v>105606983</v>
      </c>
      <c r="J32" s="300">
        <f>I32/H32/12</f>
        <v>28655.563098850809</v>
      </c>
      <c r="K32" s="85"/>
      <c r="L32" s="69"/>
    </row>
    <row r="33" spans="1:12" ht="15" thickBot="1" x14ac:dyDescent="0.35">
      <c r="H33" s="1" t="s">
        <v>1</v>
      </c>
    </row>
    <row r="34" spans="1:12" ht="16.2" thickBot="1" x14ac:dyDescent="0.35">
      <c r="A34" s="487" t="s">
        <v>73</v>
      </c>
      <c r="B34" s="488"/>
      <c r="C34" s="488"/>
      <c r="D34" s="488"/>
      <c r="E34" s="488"/>
      <c r="F34" s="488"/>
      <c r="G34" s="488"/>
      <c r="H34" s="488"/>
      <c r="I34" s="488"/>
      <c r="J34" s="489"/>
    </row>
    <row r="35" spans="1:12" ht="15" thickBot="1" x14ac:dyDescent="0.35">
      <c r="A35" s="460" t="s">
        <v>63</v>
      </c>
      <c r="B35" s="484" t="s">
        <v>81</v>
      </c>
      <c r="C35" s="485"/>
      <c r="D35" s="486"/>
      <c r="E35" s="484" t="s">
        <v>89</v>
      </c>
      <c r="F35" s="485"/>
      <c r="G35" s="486"/>
      <c r="H35" s="463" t="s">
        <v>109</v>
      </c>
      <c r="I35" s="464"/>
      <c r="J35" s="465"/>
    </row>
    <row r="36" spans="1:12" ht="58.2" thickBot="1" x14ac:dyDescent="0.35">
      <c r="A36" s="462"/>
      <c r="B36" s="156" t="s">
        <v>64</v>
      </c>
      <c r="C36" s="157" t="s">
        <v>70</v>
      </c>
      <c r="D36" s="158" t="s">
        <v>66</v>
      </c>
      <c r="E36" s="156" t="s">
        <v>64</v>
      </c>
      <c r="F36" s="157" t="s">
        <v>70</v>
      </c>
      <c r="G36" s="158" t="s">
        <v>66</v>
      </c>
      <c r="H36" s="156" t="s">
        <v>64</v>
      </c>
      <c r="I36" s="157" t="s">
        <v>70</v>
      </c>
      <c r="J36" s="158" t="s">
        <v>66</v>
      </c>
    </row>
    <row r="37" spans="1:12" x14ac:dyDescent="0.3">
      <c r="A37" s="206" t="s">
        <v>13</v>
      </c>
      <c r="B37" s="159">
        <v>0</v>
      </c>
      <c r="C37" s="160">
        <v>0</v>
      </c>
      <c r="D37" s="161">
        <v>0</v>
      </c>
      <c r="E37" s="159">
        <v>0</v>
      </c>
      <c r="F37" s="160">
        <v>0</v>
      </c>
      <c r="G37" s="161">
        <v>0</v>
      </c>
      <c r="H37" s="292">
        <v>0</v>
      </c>
      <c r="I37" s="293">
        <v>0</v>
      </c>
      <c r="J37" s="294">
        <v>0</v>
      </c>
    </row>
    <row r="38" spans="1:12" x14ac:dyDescent="0.3">
      <c r="A38" s="208" t="s">
        <v>9</v>
      </c>
      <c r="B38" s="162">
        <v>330.64699999999999</v>
      </c>
      <c r="C38" s="40">
        <v>100907610</v>
      </c>
      <c r="D38" s="41">
        <v>25431.857842351514</v>
      </c>
      <c r="E38" s="162">
        <v>310.846</v>
      </c>
      <c r="F38" s="40">
        <v>100429701</v>
      </c>
      <c r="G38" s="41">
        <f t="shared" ref="G38:G46" si="4">F38/E38/12</f>
        <v>26923.755653925095</v>
      </c>
      <c r="H38" s="292">
        <v>306.54300000000001</v>
      </c>
      <c r="I38" s="293">
        <v>106293292</v>
      </c>
      <c r="J38" s="294">
        <f>I38/H38/12</f>
        <v>28895.699243934239</v>
      </c>
    </row>
    <row r="39" spans="1:12" x14ac:dyDescent="0.3">
      <c r="A39" s="208" t="s">
        <v>10</v>
      </c>
      <c r="B39" s="168">
        <v>4.8529999999999998</v>
      </c>
      <c r="C39" s="34">
        <v>1737732</v>
      </c>
      <c r="D39" s="41">
        <v>29839.48073356687</v>
      </c>
      <c r="E39" s="168">
        <v>4.9359999999999999</v>
      </c>
      <c r="F39" s="34">
        <v>1712394</v>
      </c>
      <c r="G39" s="41">
        <f t="shared" si="4"/>
        <v>28909.947325769856</v>
      </c>
      <c r="H39" s="292">
        <v>4.25</v>
      </c>
      <c r="I39" s="293">
        <v>1492227</v>
      </c>
      <c r="J39" s="294">
        <f t="shared" ref="J39:J47" si="5">I39/H39/12</f>
        <v>29259.352941176472</v>
      </c>
    </row>
    <row r="40" spans="1:12" x14ac:dyDescent="0.3">
      <c r="A40" s="211" t="s">
        <v>75</v>
      </c>
      <c r="B40" s="162">
        <v>5.5739999999999998</v>
      </c>
      <c r="C40" s="40">
        <v>1987413</v>
      </c>
      <c r="D40" s="41">
        <v>29712.549336203807</v>
      </c>
      <c r="E40" s="162">
        <v>5.5</v>
      </c>
      <c r="F40" s="40">
        <v>2207637</v>
      </c>
      <c r="G40" s="41">
        <f t="shared" si="4"/>
        <v>33449.045454545456</v>
      </c>
      <c r="H40" s="292">
        <v>5.5</v>
      </c>
      <c r="I40" s="293">
        <v>2406120</v>
      </c>
      <c r="J40" s="294">
        <f t="shared" si="5"/>
        <v>36456.36363636364</v>
      </c>
    </row>
    <row r="41" spans="1:12" x14ac:dyDescent="0.3">
      <c r="A41" s="208" t="s">
        <v>76</v>
      </c>
      <c r="B41" s="162">
        <v>0</v>
      </c>
      <c r="C41" s="40">
        <v>0</v>
      </c>
      <c r="D41" s="41">
        <v>0</v>
      </c>
      <c r="E41" s="162">
        <v>0</v>
      </c>
      <c r="F41" s="40">
        <v>0</v>
      </c>
      <c r="G41" s="41">
        <v>0</v>
      </c>
      <c r="H41" s="292">
        <v>0</v>
      </c>
      <c r="I41" s="293">
        <v>0</v>
      </c>
      <c r="J41" s="294">
        <v>0</v>
      </c>
    </row>
    <row r="42" spans="1:12" x14ac:dyDescent="0.3">
      <c r="A42" s="208" t="s">
        <v>12</v>
      </c>
      <c r="B42" s="162">
        <v>23.445</v>
      </c>
      <c r="C42" s="40">
        <v>6293766</v>
      </c>
      <c r="D42" s="41">
        <v>22370.67605033056</v>
      </c>
      <c r="E42" s="162">
        <v>23.224</v>
      </c>
      <c r="F42" s="40">
        <v>6570251</v>
      </c>
      <c r="G42" s="41">
        <f t="shared" si="4"/>
        <v>23575.650907107589</v>
      </c>
      <c r="H42" s="292">
        <v>23.443000000000001</v>
      </c>
      <c r="I42" s="293">
        <v>6917377</v>
      </c>
      <c r="J42" s="294">
        <f t="shared" si="5"/>
        <v>24589.347921909881</v>
      </c>
    </row>
    <row r="43" spans="1:12" x14ac:dyDescent="0.3">
      <c r="A43" s="208" t="s">
        <v>15</v>
      </c>
      <c r="B43" s="168">
        <v>0</v>
      </c>
      <c r="C43" s="34">
        <v>0</v>
      </c>
      <c r="D43" s="35">
        <v>0</v>
      </c>
      <c r="E43" s="168">
        <v>0</v>
      </c>
      <c r="F43" s="34">
        <v>0</v>
      </c>
      <c r="G43" s="35">
        <v>0</v>
      </c>
      <c r="H43" s="292">
        <v>0</v>
      </c>
      <c r="I43" s="293">
        <v>0</v>
      </c>
      <c r="J43" s="294">
        <v>0</v>
      </c>
    </row>
    <row r="44" spans="1:12" x14ac:dyDescent="0.3">
      <c r="A44" s="208" t="s">
        <v>34</v>
      </c>
      <c r="B44" s="168">
        <v>0</v>
      </c>
      <c r="C44" s="34">
        <v>0</v>
      </c>
      <c r="D44" s="35">
        <v>0</v>
      </c>
      <c r="E44" s="168">
        <v>0</v>
      </c>
      <c r="F44" s="34">
        <v>0</v>
      </c>
      <c r="G44" s="35">
        <v>0</v>
      </c>
      <c r="H44" s="292">
        <v>0</v>
      </c>
      <c r="I44" s="293">
        <v>0</v>
      </c>
      <c r="J44" s="294">
        <v>0</v>
      </c>
    </row>
    <row r="45" spans="1:12" x14ac:dyDescent="0.3">
      <c r="A45" s="209" t="s">
        <v>11</v>
      </c>
      <c r="B45" s="162">
        <v>103.694</v>
      </c>
      <c r="C45" s="40">
        <v>28844668</v>
      </c>
      <c r="D45" s="41">
        <v>23180.920143241976</v>
      </c>
      <c r="E45" s="162">
        <v>104.277</v>
      </c>
      <c r="F45" s="40">
        <v>30975339</v>
      </c>
      <c r="G45" s="41">
        <f t="shared" si="4"/>
        <v>24754.05170843043</v>
      </c>
      <c r="H45" s="292">
        <v>91.113</v>
      </c>
      <c r="I45" s="293">
        <v>28395716</v>
      </c>
      <c r="J45" s="294">
        <f t="shared" si="5"/>
        <v>25971.153037071184</v>
      </c>
    </row>
    <row r="46" spans="1:12" ht="15" thickBot="1" x14ac:dyDescent="0.35">
      <c r="A46" s="209" t="s">
        <v>28</v>
      </c>
      <c r="B46" s="162">
        <v>18.338000000000001</v>
      </c>
      <c r="C46" s="40">
        <v>3385471</v>
      </c>
      <c r="D46" s="41">
        <v>15384.588468389864</v>
      </c>
      <c r="E46" s="162">
        <v>18.388000000000002</v>
      </c>
      <c r="F46" s="40">
        <v>3392881</v>
      </c>
      <c r="G46" s="41">
        <f t="shared" si="4"/>
        <v>15376.336922630699</v>
      </c>
      <c r="H46" s="295">
        <v>17.952000000000002</v>
      </c>
      <c r="I46" s="296">
        <v>3526451</v>
      </c>
      <c r="J46" s="297">
        <f t="shared" si="5"/>
        <v>16369.814876708258</v>
      </c>
    </row>
    <row r="47" spans="1:12" ht="15" thickBot="1" x14ac:dyDescent="0.35">
      <c r="A47" s="213" t="s">
        <v>68</v>
      </c>
      <c r="B47" s="165">
        <v>486.55100000000004</v>
      </c>
      <c r="C47" s="166">
        <v>143156660</v>
      </c>
      <c r="D47" s="167">
        <v>24518.954162393387</v>
      </c>
      <c r="E47" s="165">
        <f>SUM(E37:E46)</f>
        <v>467.17099999999994</v>
      </c>
      <c r="F47" s="166">
        <f>SUM(F37:F46)</f>
        <v>145288203</v>
      </c>
      <c r="G47" s="167">
        <f>F47/E47/12</f>
        <v>25916.313833692591</v>
      </c>
      <c r="H47" s="304">
        <f>SUM(H37:H46)</f>
        <v>448.80099999999999</v>
      </c>
      <c r="I47" s="305">
        <f>SUM(I37:I46)</f>
        <v>149031183</v>
      </c>
      <c r="J47" s="305">
        <f t="shared" si="5"/>
        <v>27672.097989977741</v>
      </c>
      <c r="K47" s="85"/>
      <c r="L47" s="69"/>
    </row>
    <row r="48" spans="1:12" ht="15" thickBot="1" x14ac:dyDescent="0.35">
      <c r="C48" s="1" t="s">
        <v>1</v>
      </c>
    </row>
    <row r="49" spans="1:14" ht="15" thickBot="1" x14ac:dyDescent="0.35">
      <c r="A49" s="479" t="s">
        <v>74</v>
      </c>
      <c r="B49" s="499" t="s">
        <v>81</v>
      </c>
      <c r="C49" s="500"/>
      <c r="D49" s="501"/>
      <c r="E49" s="499" t="s">
        <v>89</v>
      </c>
      <c r="F49" s="500"/>
      <c r="G49" s="501"/>
      <c r="H49" s="496" t="s">
        <v>109</v>
      </c>
      <c r="I49" s="497"/>
      <c r="J49" s="498"/>
      <c r="N49" s="85"/>
    </row>
    <row r="50" spans="1:14" ht="15" thickBot="1" x14ac:dyDescent="0.35">
      <c r="A50" s="480"/>
      <c r="B50" s="169">
        <v>1703.855</v>
      </c>
      <c r="C50" s="170">
        <v>512694840</v>
      </c>
      <c r="D50" s="149">
        <v>25075.238209824194</v>
      </c>
      <c r="E50" s="169">
        <f>E47+E32+E17</f>
        <v>1687.6759999999999</v>
      </c>
      <c r="F50" s="170">
        <f>F47+F32+F17</f>
        <v>542962549</v>
      </c>
      <c r="G50" s="149">
        <f>F50/E50/12</f>
        <v>26810.169181367357</v>
      </c>
      <c r="H50" s="306">
        <f>H17+H32+H47</f>
        <v>1692.04</v>
      </c>
      <c r="I50" s="307">
        <f>I17+I32+I47</f>
        <v>578659545</v>
      </c>
      <c r="J50" s="149">
        <f>I50/H50/12</f>
        <v>28499.106847355855</v>
      </c>
    </row>
    <row r="51" spans="1:14" x14ac:dyDescent="0.3">
      <c r="E51" s="186"/>
      <c r="F51" s="186"/>
      <c r="G51" s="214"/>
    </row>
    <row r="52" spans="1:14" x14ac:dyDescent="0.3">
      <c r="B52" s="85"/>
      <c r="C52" s="85"/>
    </row>
    <row r="55" spans="1:14" x14ac:dyDescent="0.3">
      <c r="G55" s="215"/>
    </row>
    <row r="56" spans="1:14" x14ac:dyDescent="0.3">
      <c r="G56" s="215"/>
    </row>
    <row r="58" spans="1:14" x14ac:dyDescent="0.3">
      <c r="G58" s="85"/>
    </row>
    <row r="59" spans="1:14" x14ac:dyDescent="0.3">
      <c r="G59" s="69"/>
    </row>
  </sheetData>
  <mergeCells count="20">
    <mergeCell ref="A2:G2"/>
    <mergeCell ref="A5:A6"/>
    <mergeCell ref="B5:D5"/>
    <mergeCell ref="E5:G5"/>
    <mergeCell ref="A20:A21"/>
    <mergeCell ref="B20:D20"/>
    <mergeCell ref="E20:G20"/>
    <mergeCell ref="A19:J19"/>
    <mergeCell ref="H20:J20"/>
    <mergeCell ref="H35:J35"/>
    <mergeCell ref="A4:J4"/>
    <mergeCell ref="H5:J5"/>
    <mergeCell ref="H49:J49"/>
    <mergeCell ref="A35:A36"/>
    <mergeCell ref="B35:D35"/>
    <mergeCell ref="E35:G35"/>
    <mergeCell ref="A49:A50"/>
    <mergeCell ref="B49:D49"/>
    <mergeCell ref="E49:G49"/>
    <mergeCell ref="A34:J34"/>
  </mergeCells>
  <pageMargins left="0.23622047244094491" right="0.23622047244094491" top="0.15748031496062992" bottom="0.27559055118110237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3:K13"/>
  <sheetViews>
    <sheetView workbookViewId="0">
      <selection activeCell="K12" sqref="K12"/>
    </sheetView>
  </sheetViews>
  <sheetFormatPr defaultColWidth="9.109375" defaultRowHeight="14.4" x14ac:dyDescent="0.3"/>
  <cols>
    <col min="1" max="1" width="14.6640625" style="1" customWidth="1"/>
    <col min="2" max="6" width="11.33203125" style="1" customWidth="1"/>
    <col min="7" max="7" width="11.44140625" style="1" customWidth="1"/>
    <col min="8" max="9" width="9.109375" style="1"/>
    <col min="10" max="10" width="10.6640625" style="1" customWidth="1"/>
    <col min="11" max="16384" width="9.109375" style="1"/>
  </cols>
  <sheetData>
    <row r="3" spans="1:11" ht="15" x14ac:dyDescent="0.3">
      <c r="A3" s="3" t="s">
        <v>18</v>
      </c>
      <c r="B3" s="200"/>
      <c r="C3" s="200"/>
      <c r="D3" s="200"/>
      <c r="E3" s="200"/>
      <c r="F3" s="200"/>
    </row>
    <row r="4" spans="1:11" ht="15" thickBot="1" x14ac:dyDescent="0.35"/>
    <row r="5" spans="1:11" ht="15" customHeight="1" x14ac:dyDescent="0.3">
      <c r="A5" s="392" t="s">
        <v>2</v>
      </c>
      <c r="B5" s="394">
        <v>2016</v>
      </c>
      <c r="C5" s="395"/>
      <c r="D5" s="395"/>
      <c r="E5" s="395"/>
      <c r="F5" s="396"/>
      <c r="G5" s="394">
        <v>2017</v>
      </c>
      <c r="H5" s="395"/>
      <c r="I5" s="395"/>
      <c r="J5" s="395"/>
      <c r="K5" s="396"/>
    </row>
    <row r="6" spans="1:11" ht="21" thickBot="1" x14ac:dyDescent="0.35">
      <c r="A6" s="393"/>
      <c r="B6" s="32" t="s">
        <v>3</v>
      </c>
      <c r="C6" s="30" t="s">
        <v>4</v>
      </c>
      <c r="D6" s="30" t="s">
        <v>5</v>
      </c>
      <c r="E6" s="31" t="s">
        <v>6</v>
      </c>
      <c r="F6" s="9" t="s">
        <v>7</v>
      </c>
      <c r="G6" s="32" t="s">
        <v>3</v>
      </c>
      <c r="H6" s="30" t="s">
        <v>4</v>
      </c>
      <c r="I6" s="30" t="s">
        <v>5</v>
      </c>
      <c r="J6" s="31" t="s">
        <v>6</v>
      </c>
      <c r="K6" s="9" t="s">
        <v>7</v>
      </c>
    </row>
    <row r="7" spans="1:11" ht="15" thickTop="1" x14ac:dyDescent="0.3">
      <c r="A7" s="33" t="s">
        <v>8</v>
      </c>
      <c r="B7" s="36">
        <f>'1'!C7/'1'!B7</f>
        <v>88186.295503211993</v>
      </c>
      <c r="C7" s="34">
        <f>'1'!D7/'1'!B7</f>
        <v>13050.760706638115</v>
      </c>
      <c r="D7" s="34">
        <f>'1'!E7/'1'!B7</f>
        <v>5625.2676659528906</v>
      </c>
      <c r="E7" s="34">
        <f>'1'!F7/'1'!B7</f>
        <v>4175.1456102783723</v>
      </c>
      <c r="F7" s="35">
        <f>B7+C7+D7+E7</f>
        <v>111037.46948608138</v>
      </c>
      <c r="G7" s="36">
        <f>'1'!I7/'1'!H7</f>
        <v>129496.00212314224</v>
      </c>
      <c r="H7" s="34">
        <f>'1'!J7/'1'!H7</f>
        <v>13639.915074309978</v>
      </c>
      <c r="I7" s="34">
        <f>'1'!K7/'1'!H7</f>
        <v>246.28450106157112</v>
      </c>
      <c r="J7" s="34">
        <f>'1'!L7/'1'!H7</f>
        <v>6084.915074309979</v>
      </c>
      <c r="K7" s="35">
        <f>SUM(G7:J7)</f>
        <v>149467.11677282376</v>
      </c>
    </row>
    <row r="8" spans="1:11" x14ac:dyDescent="0.3">
      <c r="A8" s="37" t="s">
        <v>86</v>
      </c>
      <c r="B8" s="36">
        <f>'1'!C8/'1'!B8</f>
        <v>51758.580570098893</v>
      </c>
      <c r="C8" s="34">
        <f>'1'!D8/'1'!B8</f>
        <v>15811.168605778554</v>
      </c>
      <c r="D8" s="34">
        <f>'1'!E8/'1'!B8</f>
        <v>3091.0980221058753</v>
      </c>
      <c r="E8" s="34">
        <f>'1'!F8/'1'!B8</f>
        <v>2085.3360480899746</v>
      </c>
      <c r="F8" s="35">
        <f t="shared" ref="F8:F12" si="0">B8+C8+D8+E8</f>
        <v>72746.183246073284</v>
      </c>
      <c r="G8" s="36">
        <f>'1'!I8/'1'!H8</f>
        <v>59056.16359675183</v>
      </c>
      <c r="H8" s="34">
        <f>'1'!J8/'1'!H8</f>
        <v>17601.247573776986</v>
      </c>
      <c r="I8" s="34">
        <f>'1'!K8/'1'!H8</f>
        <v>3437.966726084373</v>
      </c>
      <c r="J8" s="34">
        <f>'1'!L8/'1'!H8</f>
        <v>3103.9494949494951</v>
      </c>
      <c r="K8" s="35">
        <f>SUM(G8:J8)</f>
        <v>83199.327391562692</v>
      </c>
    </row>
    <row r="9" spans="1:11" x14ac:dyDescent="0.3">
      <c r="A9" s="37" t="s">
        <v>11</v>
      </c>
      <c r="B9" s="36">
        <f>'1'!C9/'1'!B9</f>
        <v>295150</v>
      </c>
      <c r="C9" s="34">
        <f>'1'!D9/'1'!B9</f>
        <v>99445</v>
      </c>
      <c r="D9" s="34">
        <f>'1'!E9/'1'!B9</f>
        <v>1635.925</v>
      </c>
      <c r="E9" s="34">
        <f>'1'!F9/'1'!B9</f>
        <v>5385.0050000000001</v>
      </c>
      <c r="F9" s="35">
        <f t="shared" si="0"/>
        <v>401615.93</v>
      </c>
      <c r="G9" s="36">
        <f>'1'!I9/'1'!H9</f>
        <v>319791.47715736041</v>
      </c>
      <c r="H9" s="34">
        <f>'1'!J9/'1'!H9</f>
        <v>103384.77157360406</v>
      </c>
      <c r="I9" s="34">
        <f>'1'!K9/'1'!H9</f>
        <v>10913.705583756346</v>
      </c>
      <c r="J9" s="34">
        <f>'1'!L9/'1'!H9</f>
        <v>9120.3705583756346</v>
      </c>
      <c r="K9" s="35">
        <f t="shared" ref="K9:K11" si="1">SUM(G9:J9)</f>
        <v>443210.32487309643</v>
      </c>
    </row>
    <row r="10" spans="1:11" x14ac:dyDescent="0.3">
      <c r="A10" s="37" t="s">
        <v>12</v>
      </c>
      <c r="B10" s="36">
        <f>'1'!C10/'1'!B10</f>
        <v>36871.743486973945</v>
      </c>
      <c r="C10" s="34">
        <f>'1'!D10/'1'!B10</f>
        <v>6945.8917835671346</v>
      </c>
      <c r="D10" s="34">
        <f>'1'!E10/'1'!B10</f>
        <v>732.60721442885767</v>
      </c>
      <c r="E10" s="34">
        <f>'1'!F10/'1'!B10</f>
        <v>511.33366733466931</v>
      </c>
      <c r="F10" s="35">
        <f t="shared" si="0"/>
        <v>45061.576152304609</v>
      </c>
      <c r="G10" s="36">
        <f>'1'!I10/'1'!H10</f>
        <v>29874.949743589743</v>
      </c>
      <c r="H10" s="34">
        <f>'1'!J10/'1'!H10</f>
        <v>7257.4358974358975</v>
      </c>
      <c r="I10" s="34">
        <f>'1'!K10/'1'!H10</f>
        <v>492.30769230769232</v>
      </c>
      <c r="J10" s="34">
        <f>'1'!L10/'1'!H10</f>
        <v>1099.8994871794871</v>
      </c>
      <c r="K10" s="35">
        <f t="shared" si="1"/>
        <v>38724.592820512822</v>
      </c>
    </row>
    <row r="11" spans="1:11" x14ac:dyDescent="0.3">
      <c r="A11" s="37" t="s">
        <v>13</v>
      </c>
      <c r="B11" s="36">
        <f>'1'!C11/'1'!B11</f>
        <v>16446.919079435782</v>
      </c>
      <c r="C11" s="34">
        <f>'1'!D11/'1'!B11</f>
        <v>547.1417965850037</v>
      </c>
      <c r="D11" s="34">
        <f>'1'!E11/'1'!B11</f>
        <v>40.089086859688194</v>
      </c>
      <c r="E11" s="34">
        <f>'1'!F11/'1'!B11</f>
        <v>460.902004454343</v>
      </c>
      <c r="F11" s="35">
        <f t="shared" si="0"/>
        <v>17495.051967334817</v>
      </c>
      <c r="G11" s="36">
        <f>'1'!I11/'1'!H11</f>
        <v>16738.638313609466</v>
      </c>
      <c r="H11" s="34">
        <f>'1'!J11/'1'!H11</f>
        <v>561.48520710059177</v>
      </c>
      <c r="I11" s="34">
        <f>'1'!K11/'1'!H11</f>
        <v>39.940828402366861</v>
      </c>
      <c r="J11" s="34">
        <f>'1'!L11/'1'!H11</f>
        <v>370.36834319526628</v>
      </c>
      <c r="K11" s="35">
        <f t="shared" si="1"/>
        <v>17710.432692307691</v>
      </c>
    </row>
    <row r="12" spans="1:11" ht="15" thickBot="1" x14ac:dyDescent="0.35">
      <c r="A12" s="42" t="s">
        <v>15</v>
      </c>
      <c r="B12" s="45">
        <f>'1'!C13/'1'!B13</f>
        <v>5071.8503937007872</v>
      </c>
      <c r="C12" s="43">
        <f>'1'!D13/'1'!B13</f>
        <v>1559.7933070866143</v>
      </c>
      <c r="D12" s="43">
        <f>'1'!E14/'1'!B14</f>
        <v>0</v>
      </c>
      <c r="E12" s="43">
        <f>'1'!F13/'1'!B13</f>
        <v>316.23818897637796</v>
      </c>
      <c r="F12" s="44">
        <f t="shared" si="0"/>
        <v>6947.8818897637793</v>
      </c>
      <c r="G12" s="45">
        <f>'1'!I14/'1'!H14</f>
        <v>0</v>
      </c>
      <c r="H12" s="43">
        <f>'1'!J14/'1'!H14</f>
        <v>558.16686251468855</v>
      </c>
      <c r="I12" s="43">
        <f>'1'!K14/'1'!H14</f>
        <v>0</v>
      </c>
      <c r="J12" s="43">
        <f>'1'!L14/'1'!H14</f>
        <v>0</v>
      </c>
      <c r="K12" s="44">
        <f>SUM(G12:J12)</f>
        <v>558.16686251468855</v>
      </c>
    </row>
    <row r="13" spans="1:11" x14ac:dyDescent="0.3">
      <c r="F13" s="184"/>
    </row>
  </sheetData>
  <mergeCells count="3">
    <mergeCell ref="A5:A6"/>
    <mergeCell ref="B5:F5"/>
    <mergeCell ref="G5:K5"/>
  </mergeCells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3:Q25"/>
  <sheetViews>
    <sheetView workbookViewId="0">
      <selection activeCell="O14" sqref="O14"/>
    </sheetView>
  </sheetViews>
  <sheetFormatPr defaultColWidth="9.109375" defaultRowHeight="14.4" x14ac:dyDescent="0.3"/>
  <cols>
    <col min="1" max="1" width="9" style="1" customWidth="1"/>
    <col min="2" max="2" width="6.6640625" style="1" customWidth="1"/>
    <col min="3" max="3" width="10.5546875" style="1" customWidth="1"/>
    <col min="4" max="4" width="8.44140625" style="1" customWidth="1"/>
    <col min="5" max="5" width="11.33203125" style="1" customWidth="1"/>
    <col min="6" max="6" width="12.88671875" style="1" customWidth="1"/>
    <col min="7" max="7" width="11" style="1" customWidth="1"/>
    <col min="8" max="8" width="7.6640625" style="1" customWidth="1"/>
    <col min="9" max="9" width="15.6640625" style="1" customWidth="1"/>
    <col min="10" max="10" width="11.6640625" style="1" customWidth="1"/>
    <col min="11" max="11" width="9.109375" style="1"/>
    <col min="12" max="12" width="11.33203125" style="1" customWidth="1"/>
    <col min="13" max="13" width="11" style="1" customWidth="1"/>
    <col min="14" max="15" width="11.109375" style="1" customWidth="1"/>
    <col min="16" max="16384" width="9.109375" style="1"/>
  </cols>
  <sheetData>
    <row r="3" spans="1:17" ht="15" x14ac:dyDescent="0.3">
      <c r="A3" s="3" t="s">
        <v>19</v>
      </c>
      <c r="B3" s="200"/>
      <c r="C3" s="200"/>
      <c r="D3" s="200"/>
      <c r="E3" s="200"/>
      <c r="F3" s="200"/>
      <c r="G3" s="200"/>
      <c r="H3" s="200"/>
    </row>
    <row r="4" spans="1:17" ht="15" thickBot="1" x14ac:dyDescent="0.35"/>
    <row r="5" spans="1:17" ht="15" customHeight="1" x14ac:dyDescent="0.3">
      <c r="A5" s="392" t="s">
        <v>2</v>
      </c>
      <c r="B5" s="397" t="s">
        <v>88</v>
      </c>
      <c r="C5" s="397"/>
      <c r="D5" s="397"/>
      <c r="E5" s="397"/>
      <c r="F5" s="397"/>
      <c r="G5" s="397"/>
      <c r="H5" s="398"/>
      <c r="I5" s="397" t="s">
        <v>115</v>
      </c>
      <c r="J5" s="397"/>
      <c r="K5" s="397"/>
      <c r="L5" s="397"/>
      <c r="M5" s="397"/>
      <c r="N5" s="397"/>
      <c r="O5" s="398"/>
    </row>
    <row r="6" spans="1:17" ht="57.75" customHeight="1" thickBot="1" x14ac:dyDescent="0.35">
      <c r="A6" s="393"/>
      <c r="B6" s="46" t="s">
        <v>20</v>
      </c>
      <c r="C6" s="8" t="s">
        <v>21</v>
      </c>
      <c r="D6" s="8" t="s">
        <v>22</v>
      </c>
      <c r="E6" s="8" t="s">
        <v>23</v>
      </c>
      <c r="F6" s="8" t="s">
        <v>6</v>
      </c>
      <c r="G6" s="47" t="s">
        <v>24</v>
      </c>
      <c r="H6" s="48" t="s">
        <v>25</v>
      </c>
      <c r="I6" s="46" t="s">
        <v>20</v>
      </c>
      <c r="J6" s="8" t="s">
        <v>21</v>
      </c>
      <c r="K6" s="8" t="s">
        <v>22</v>
      </c>
      <c r="L6" s="8" t="s">
        <v>23</v>
      </c>
      <c r="M6" s="8" t="s">
        <v>6</v>
      </c>
      <c r="N6" s="47" t="s">
        <v>24</v>
      </c>
      <c r="O6" s="48" t="s">
        <v>25</v>
      </c>
    </row>
    <row r="7" spans="1:17" ht="24.75" customHeight="1" thickTop="1" x14ac:dyDescent="0.3">
      <c r="A7" s="49" t="s">
        <v>26</v>
      </c>
      <c r="B7" s="50">
        <v>9059</v>
      </c>
      <c r="C7" s="51">
        <f>255418000+884000</f>
        <v>256302000</v>
      </c>
      <c r="D7" s="52">
        <v>1373000</v>
      </c>
      <c r="E7" s="50">
        <f>87262000+300000+3831000+13000+4384000+11000</f>
        <v>95801000</v>
      </c>
      <c r="F7" s="12">
        <v>8290796.2000000002</v>
      </c>
      <c r="G7" s="53">
        <f>C7+D7+E7+F7</f>
        <v>361766796.19999999</v>
      </c>
      <c r="H7" s="54">
        <f>G7/$G$14*100</f>
        <v>20.981275366426782</v>
      </c>
      <c r="I7" s="50">
        <v>8648</v>
      </c>
      <c r="J7" s="51">
        <v>276410533</v>
      </c>
      <c r="K7" s="52">
        <v>2029656</v>
      </c>
      <c r="L7" s="50">
        <f>94593161+5528219+4364785</f>
        <v>104486165</v>
      </c>
      <c r="M7" s="12">
        <v>25462602</v>
      </c>
      <c r="N7" s="53">
        <f t="shared" ref="N7:N13" si="0">J7+K7+L7+M7</f>
        <v>408388956</v>
      </c>
      <c r="O7" s="54">
        <f>N7/N14*100</f>
        <v>20.538399896643391</v>
      </c>
    </row>
    <row r="8" spans="1:17" ht="24.75" customHeight="1" x14ac:dyDescent="0.3">
      <c r="A8" s="55" t="s">
        <v>84</v>
      </c>
      <c r="B8" s="56">
        <v>23289</v>
      </c>
      <c r="C8" s="57">
        <f>625681000</f>
        <v>625681000</v>
      </c>
      <c r="D8" s="58">
        <f>3536000+533000</f>
        <v>4069000</v>
      </c>
      <c r="E8" s="50">
        <f>247669000</f>
        <v>247669000</v>
      </c>
      <c r="F8" s="53">
        <v>34498757.399999999</v>
      </c>
      <c r="G8" s="53">
        <f t="shared" ref="G8:G13" si="1">C8+D8+E8+F8</f>
        <v>911917757.39999998</v>
      </c>
      <c r="H8" s="54">
        <f>G8/$G$14*100</f>
        <v>52.88820804042539</v>
      </c>
      <c r="I8" s="56">
        <v>23386</v>
      </c>
      <c r="J8" s="57">
        <v>714983745</v>
      </c>
      <c r="K8" s="58">
        <v>6826624</v>
      </c>
      <c r="L8" s="50">
        <f>245377769+14313236+31666571</f>
        <v>291357576</v>
      </c>
      <c r="M8" s="53">
        <v>70563309</v>
      </c>
      <c r="N8" s="53">
        <f t="shared" si="0"/>
        <v>1083731254</v>
      </c>
      <c r="O8" s="54">
        <f>N8/N14*100</f>
        <v>54.502222815111608</v>
      </c>
    </row>
    <row r="9" spans="1:17" ht="24.75" customHeight="1" x14ac:dyDescent="0.3">
      <c r="A9" s="236" t="s">
        <v>85</v>
      </c>
      <c r="B9" s="56">
        <v>916</v>
      </c>
      <c r="C9" s="57">
        <v>48422000</v>
      </c>
      <c r="D9" s="59">
        <v>798000</v>
      </c>
      <c r="E9" s="50">
        <v>18906000</v>
      </c>
      <c r="F9" s="17">
        <v>2233069</v>
      </c>
      <c r="G9" s="53">
        <f t="shared" si="1"/>
        <v>70359069</v>
      </c>
      <c r="H9" s="54">
        <f t="shared" ref="H9:H12" si="2">G9/$G$14*100</f>
        <v>4.0805928479912339</v>
      </c>
      <c r="I9" s="56">
        <v>921</v>
      </c>
      <c r="J9" s="57">
        <v>58034662</v>
      </c>
      <c r="K9" s="59">
        <v>808544</v>
      </c>
      <c r="L9" s="50">
        <v>23975948</v>
      </c>
      <c r="M9" s="17">
        <v>454608</v>
      </c>
      <c r="N9" s="53">
        <f t="shared" si="0"/>
        <v>83273762</v>
      </c>
      <c r="O9" s="54">
        <f>N9/N14*100</f>
        <v>4.187943380265911</v>
      </c>
    </row>
    <row r="10" spans="1:17" ht="24.75" customHeight="1" x14ac:dyDescent="0.3">
      <c r="A10" s="55" t="s">
        <v>13</v>
      </c>
      <c r="B10" s="56">
        <v>8249</v>
      </c>
      <c r="C10" s="57">
        <v>97885000</v>
      </c>
      <c r="D10" s="59">
        <v>649000</v>
      </c>
      <c r="E10" s="50">
        <f>33502000+1468000+584000</f>
        <v>35554000</v>
      </c>
      <c r="F10" s="17">
        <v>3111223</v>
      </c>
      <c r="G10" s="53">
        <f t="shared" si="1"/>
        <v>137199223</v>
      </c>
      <c r="H10" s="54">
        <f t="shared" si="2"/>
        <v>7.9571002868692648</v>
      </c>
      <c r="I10" s="56">
        <v>8052</v>
      </c>
      <c r="J10" s="57">
        <v>105675607</v>
      </c>
      <c r="K10" s="59">
        <v>813582</v>
      </c>
      <c r="L10" s="50">
        <v>39113140</v>
      </c>
      <c r="M10" s="17">
        <v>3644139</v>
      </c>
      <c r="N10" s="53">
        <f t="shared" si="0"/>
        <v>149246468</v>
      </c>
      <c r="O10" s="54">
        <f>N10/N14*100</f>
        <v>7.5057946546076311</v>
      </c>
      <c r="Q10" s="318"/>
    </row>
    <row r="11" spans="1:17" ht="24.75" customHeight="1" x14ac:dyDescent="0.3">
      <c r="A11" s="55" t="s">
        <v>27</v>
      </c>
      <c r="B11" s="56">
        <v>7838</v>
      </c>
      <c r="C11" s="57">
        <v>68247000</v>
      </c>
      <c r="D11" s="58">
        <v>0</v>
      </c>
      <c r="E11" s="50">
        <v>24467000</v>
      </c>
      <c r="F11" s="17">
        <v>0</v>
      </c>
      <c r="G11" s="53">
        <f t="shared" si="1"/>
        <v>92714000</v>
      </c>
      <c r="H11" s="54">
        <f t="shared" si="2"/>
        <v>5.3771047668163323</v>
      </c>
      <c r="I11" s="56">
        <v>7773</v>
      </c>
      <c r="J11" s="57">
        <v>75076162</v>
      </c>
      <c r="K11" s="58">
        <v>0</v>
      </c>
      <c r="L11" s="50">
        <v>27267270</v>
      </c>
      <c r="M11" s="17">
        <v>158072</v>
      </c>
      <c r="N11" s="53">
        <f t="shared" si="0"/>
        <v>102501504</v>
      </c>
      <c r="O11" s="54">
        <f>N11/N14*100</f>
        <v>5.1549309750663097</v>
      </c>
    </row>
    <row r="12" spans="1:17" ht="24.75" customHeight="1" x14ac:dyDescent="0.3">
      <c r="A12" s="55" t="s">
        <v>28</v>
      </c>
      <c r="B12" s="56">
        <v>27656</v>
      </c>
      <c r="C12" s="57">
        <v>82580000</v>
      </c>
      <c r="D12" s="58">
        <v>26000</v>
      </c>
      <c r="E12" s="50">
        <f>28086000+1239000+1348000</f>
        <v>30673000</v>
      </c>
      <c r="F12" s="17">
        <v>35270</v>
      </c>
      <c r="G12" s="53">
        <f t="shared" si="1"/>
        <v>113314270</v>
      </c>
      <c r="H12" s="54">
        <f t="shared" si="2"/>
        <v>6.5718521621903152</v>
      </c>
      <c r="I12" s="56">
        <v>26979</v>
      </c>
      <c r="J12" s="57">
        <v>86156153</v>
      </c>
      <c r="K12" s="58">
        <v>42000</v>
      </c>
      <c r="L12" s="50">
        <f>29307379+1723123+1328713</f>
        <v>32359215</v>
      </c>
      <c r="M12" s="17">
        <v>111292</v>
      </c>
      <c r="N12" s="53">
        <f t="shared" si="0"/>
        <v>118668660</v>
      </c>
      <c r="O12" s="54">
        <f>N12/N14*100</f>
        <v>5.9679978081454523</v>
      </c>
    </row>
    <row r="13" spans="1:17" ht="24.75" customHeight="1" thickBot="1" x14ac:dyDescent="0.35">
      <c r="A13" s="60" t="s">
        <v>15</v>
      </c>
      <c r="B13" s="21">
        <v>11609</v>
      </c>
      <c r="C13" s="61">
        <v>20863000</v>
      </c>
      <c r="D13" s="62">
        <v>5408000</v>
      </c>
      <c r="E13" s="22">
        <v>9695000</v>
      </c>
      <c r="F13" s="63">
        <v>999328</v>
      </c>
      <c r="G13" s="63">
        <f t="shared" si="1"/>
        <v>36965328</v>
      </c>
      <c r="H13" s="194">
        <f t="shared" ref="H13" si="3">G13/$G$14*100</f>
        <v>2.1438665292806829</v>
      </c>
      <c r="I13" s="21">
        <v>7753</v>
      </c>
      <c r="J13" s="61">
        <v>24306034</v>
      </c>
      <c r="K13" s="62">
        <v>5838522</v>
      </c>
      <c r="L13" s="22">
        <v>11134006</v>
      </c>
      <c r="M13" s="63">
        <v>1327449</v>
      </c>
      <c r="N13" s="53">
        <f t="shared" si="0"/>
        <v>42606011</v>
      </c>
      <c r="O13" s="54">
        <f>N13/N14*100</f>
        <v>2.1427104701596953</v>
      </c>
    </row>
    <row r="14" spans="1:17" ht="24.75" customHeight="1" thickTop="1" thickBot="1" x14ac:dyDescent="0.35">
      <c r="A14" s="64" t="s">
        <v>29</v>
      </c>
      <c r="B14" s="65">
        <f>SUM(B7:B13)</f>
        <v>88616</v>
      </c>
      <c r="C14" s="66">
        <f>SUM(C7:C13)</f>
        <v>1199980000</v>
      </c>
      <c r="D14" s="66">
        <f t="shared" ref="D14:F14" si="4">SUM(D7:D13)</f>
        <v>12323000</v>
      </c>
      <c r="E14" s="66">
        <f t="shared" si="4"/>
        <v>462765000</v>
      </c>
      <c r="F14" s="66">
        <f t="shared" si="4"/>
        <v>49168443.600000001</v>
      </c>
      <c r="G14" s="66">
        <f>SUM(G7:G13)</f>
        <v>1724236443.5999999</v>
      </c>
      <c r="H14" s="67">
        <f>SUM(H7:H13)</f>
        <v>99.999999999999986</v>
      </c>
      <c r="I14" s="65">
        <f>SUM(I7:I13)</f>
        <v>83512</v>
      </c>
      <c r="J14" s="66">
        <f>SUM(J7:J13)</f>
        <v>1340642896</v>
      </c>
      <c r="K14" s="66">
        <f t="shared" ref="K14:N14" si="5">SUM(K7:K13)</f>
        <v>16358928</v>
      </c>
      <c r="L14" s="66">
        <f t="shared" si="5"/>
        <v>529693320</v>
      </c>
      <c r="M14" s="66">
        <f t="shared" si="5"/>
        <v>101721471</v>
      </c>
      <c r="N14" s="66">
        <f t="shared" si="5"/>
        <v>1988416615</v>
      </c>
      <c r="O14" s="67">
        <f>SUM(O7:O13)</f>
        <v>99.999999999999986</v>
      </c>
    </row>
    <row r="15" spans="1:17" x14ac:dyDescent="0.3">
      <c r="B15" s="5"/>
      <c r="C15" s="5"/>
      <c r="D15" s="5"/>
      <c r="E15" s="5"/>
      <c r="F15" s="5"/>
      <c r="G15" s="5"/>
      <c r="H15" s="5"/>
      <c r="J15" s="69"/>
    </row>
    <row r="16" spans="1:17" x14ac:dyDescent="0.3">
      <c r="C16" s="240"/>
      <c r="D16" s="196"/>
      <c r="E16" s="240"/>
      <c r="F16" s="240"/>
      <c r="G16" s="196"/>
      <c r="H16" s="230"/>
    </row>
    <row r="17" spans="3:10" x14ac:dyDescent="0.3">
      <c r="C17" s="231"/>
      <c r="D17" s="231"/>
      <c r="E17" s="231"/>
      <c r="F17" s="231"/>
      <c r="G17" s="231"/>
      <c r="H17" s="230"/>
    </row>
    <row r="19" spans="3:10" x14ac:dyDescent="0.3">
      <c r="H19" s="251"/>
    </row>
    <row r="20" spans="3:10" x14ac:dyDescent="0.3">
      <c r="H20" s="205"/>
    </row>
    <row r="21" spans="3:10" x14ac:dyDescent="0.3">
      <c r="C21" s="5"/>
      <c r="D21" s="5"/>
      <c r="E21" s="5"/>
      <c r="H21" s="205"/>
    </row>
    <row r="22" spans="3:10" x14ac:dyDescent="0.3">
      <c r="H22" s="205"/>
    </row>
    <row r="23" spans="3:10" x14ac:dyDescent="0.3">
      <c r="E23" s="69"/>
    </row>
    <row r="24" spans="3:10" x14ac:dyDescent="0.3">
      <c r="E24" s="69"/>
      <c r="I24" s="69"/>
    </row>
    <row r="25" spans="3:10" x14ac:dyDescent="0.3">
      <c r="E25" s="69"/>
      <c r="J25" s="69"/>
    </row>
  </sheetData>
  <mergeCells count="3">
    <mergeCell ref="A5:A6"/>
    <mergeCell ref="B5:H5"/>
    <mergeCell ref="I5:O5"/>
  </mergeCells>
  <pageMargins left="0.28000000000000003" right="0.2" top="0.78740157499999996" bottom="0.78740157499999996" header="0.3" footer="0.3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M14"/>
  <sheetViews>
    <sheetView workbookViewId="0">
      <selection activeCell="K17" sqref="K17"/>
    </sheetView>
  </sheetViews>
  <sheetFormatPr defaultColWidth="9.109375" defaultRowHeight="14.4" x14ac:dyDescent="0.3"/>
  <cols>
    <col min="1" max="1" width="19.5546875" style="1" customWidth="1"/>
    <col min="2" max="2" width="9.109375" style="1"/>
    <col min="3" max="7" width="10.88671875" style="1" customWidth="1"/>
    <col min="8" max="11" width="9.109375" style="1"/>
    <col min="12" max="12" width="10.6640625" style="1" customWidth="1"/>
    <col min="13" max="13" width="11.5546875" style="1" customWidth="1"/>
    <col min="14" max="16384" width="9.109375" style="1"/>
  </cols>
  <sheetData>
    <row r="3" spans="1:13" ht="15" x14ac:dyDescent="0.3">
      <c r="A3" s="3" t="s">
        <v>30</v>
      </c>
      <c r="B3" s="68"/>
      <c r="F3" s="200"/>
      <c r="G3" s="200"/>
    </row>
    <row r="4" spans="1:13" ht="15" thickBot="1" x14ac:dyDescent="0.35"/>
    <row r="5" spans="1:13" ht="15" customHeight="1" x14ac:dyDescent="0.3">
      <c r="A5" s="392" t="s">
        <v>2</v>
      </c>
      <c r="B5" s="399" t="s">
        <v>88</v>
      </c>
      <c r="C5" s="397"/>
      <c r="D5" s="397"/>
      <c r="E5" s="397"/>
      <c r="F5" s="397"/>
      <c r="G5" s="398"/>
      <c r="H5" s="399" t="s">
        <v>115</v>
      </c>
      <c r="I5" s="397"/>
      <c r="J5" s="397"/>
      <c r="K5" s="397"/>
      <c r="L5" s="397"/>
      <c r="M5" s="398"/>
    </row>
    <row r="6" spans="1:13" ht="31.2" thickBot="1" x14ac:dyDescent="0.35">
      <c r="A6" s="393"/>
      <c r="B6" s="32" t="s">
        <v>20</v>
      </c>
      <c r="C6" s="30" t="s">
        <v>31</v>
      </c>
      <c r="D6" s="30" t="s">
        <v>22</v>
      </c>
      <c r="E6" s="30" t="s">
        <v>23</v>
      </c>
      <c r="F6" s="8" t="s">
        <v>32</v>
      </c>
      <c r="G6" s="9" t="s">
        <v>33</v>
      </c>
      <c r="H6" s="32" t="s">
        <v>20</v>
      </c>
      <c r="I6" s="30" t="s">
        <v>31</v>
      </c>
      <c r="J6" s="30" t="s">
        <v>22</v>
      </c>
      <c r="K6" s="30" t="s">
        <v>23</v>
      </c>
      <c r="L6" s="8" t="s">
        <v>32</v>
      </c>
      <c r="M6" s="9" t="s">
        <v>33</v>
      </c>
    </row>
    <row r="7" spans="1:13" ht="25.5" customHeight="1" thickTop="1" x14ac:dyDescent="0.3">
      <c r="A7" s="33" t="s">
        <v>26</v>
      </c>
      <c r="B7" s="39">
        <f>'3'!B7</f>
        <v>9059</v>
      </c>
      <c r="C7" s="34">
        <f>'3'!C7/'3'!$B$7</f>
        <v>28292.526768959047</v>
      </c>
      <c r="D7" s="34">
        <f>'3'!D7/'3'!$B$7</f>
        <v>151.56198255878132</v>
      </c>
      <c r="E7" s="34">
        <f>'3'!E7/'3'!$B$7</f>
        <v>10575.229053979469</v>
      </c>
      <c r="F7" s="34">
        <f>'3'!F7/'3'!$B$7</f>
        <v>915.19993376752404</v>
      </c>
      <c r="G7" s="35">
        <f>C7+D7+E7+F7</f>
        <v>39934.517739264818</v>
      </c>
      <c r="H7" s="319">
        <f>'3'!I7</f>
        <v>8648</v>
      </c>
      <c r="I7" s="320">
        <f>'3'!J7/'3'!I7</f>
        <v>31962.365055504164</v>
      </c>
      <c r="J7" s="320">
        <f>'3'!K7/'3'!I7</f>
        <v>234.69657724329323</v>
      </c>
      <c r="K7" s="320">
        <f>'3'!L7/'3'!I7</f>
        <v>12082.118987049029</v>
      </c>
      <c r="L7" s="320">
        <f>'3'!M7/'3'!I7</f>
        <v>2944.3341813135985</v>
      </c>
      <c r="M7" s="321">
        <f>SUM(I7:L7)</f>
        <v>47223.514801110083</v>
      </c>
    </row>
    <row r="8" spans="1:13" ht="25.5" customHeight="1" x14ac:dyDescent="0.3">
      <c r="A8" s="37" t="s">
        <v>84</v>
      </c>
      <c r="B8" s="39">
        <f>'3'!B8</f>
        <v>23289</v>
      </c>
      <c r="C8" s="34">
        <f>'3'!C8/'3'!$B$8</f>
        <v>26865.94529606252</v>
      </c>
      <c r="D8" s="34">
        <f>'3'!D8/'3'!$B$8</f>
        <v>174.71767787367426</v>
      </c>
      <c r="E8" s="34">
        <f>'3'!E8/'3'!$B$8</f>
        <v>10634.591438017949</v>
      </c>
      <c r="F8" s="34">
        <f>'3'!F8/'3'!$B$8</f>
        <v>1481.3327064279272</v>
      </c>
      <c r="G8" s="35">
        <f t="shared" ref="G8:G13" si="0">C8+D8+E8+F8</f>
        <v>39156.587118382071</v>
      </c>
      <c r="H8" s="11">
        <f>'3'!I8</f>
        <v>23386</v>
      </c>
      <c r="I8" s="34">
        <f>'3'!J8/'3'!I8</f>
        <v>30573.152527152997</v>
      </c>
      <c r="J8" s="34">
        <f>'3'!K8/'3'!I8</f>
        <v>291.91071581287952</v>
      </c>
      <c r="K8" s="34">
        <f>'3'!L8/'3'!I8</f>
        <v>12458.632344137519</v>
      </c>
      <c r="L8" s="34">
        <f>'3'!M8/'3'!I8</f>
        <v>3017.3312665697426</v>
      </c>
      <c r="M8" s="41">
        <f t="shared" ref="M8:M13" si="1">SUM(I8:L8)</f>
        <v>46341.026853673138</v>
      </c>
    </row>
    <row r="9" spans="1:13" ht="25.5" customHeight="1" x14ac:dyDescent="0.3">
      <c r="A9" s="37" t="s">
        <v>85</v>
      </c>
      <c r="B9" s="39">
        <f>'3'!B9</f>
        <v>916</v>
      </c>
      <c r="C9" s="34">
        <f>'3'!C9/'3'!$B$9</f>
        <v>52862.445414847163</v>
      </c>
      <c r="D9" s="34">
        <f>'3'!D9/'3'!$B$9</f>
        <v>871.17903930131001</v>
      </c>
      <c r="E9" s="34">
        <f>'3'!E9/'3'!$B$9</f>
        <v>20639.737991266375</v>
      </c>
      <c r="F9" s="34">
        <f>'3'!F9/'3'!$B$9</f>
        <v>2437.8482532751091</v>
      </c>
      <c r="G9" s="35">
        <f t="shared" si="0"/>
        <v>76811.21069868996</v>
      </c>
      <c r="H9" s="11">
        <f>'3'!I9</f>
        <v>921</v>
      </c>
      <c r="I9" s="34">
        <f>'3'!J9/'3'!I9</f>
        <v>63012.662323561344</v>
      </c>
      <c r="J9" s="34">
        <f>'3'!K9/'3'!I9</f>
        <v>877.89793702497286</v>
      </c>
      <c r="K9" s="34">
        <f>'3'!L9/'3'!I9</f>
        <v>26032.516829533117</v>
      </c>
      <c r="L9" s="34">
        <f>'3'!M9/'3'!I9</f>
        <v>493.6026058631922</v>
      </c>
      <c r="M9" s="41">
        <f t="shared" si="1"/>
        <v>90416.679695982632</v>
      </c>
    </row>
    <row r="10" spans="1:13" ht="25.5" customHeight="1" x14ac:dyDescent="0.3">
      <c r="A10" s="37" t="s">
        <v>13</v>
      </c>
      <c r="B10" s="39">
        <f>'3'!B10</f>
        <v>8249</v>
      </c>
      <c r="C10" s="34">
        <f>'3'!C10/'3'!$B$10</f>
        <v>11866.286822645168</v>
      </c>
      <c r="D10" s="34">
        <f>'3'!D10/'3'!$B$10</f>
        <v>78.676203176142565</v>
      </c>
      <c r="E10" s="34">
        <f>'3'!E10/'3'!$B$10</f>
        <v>4310.0981937204506</v>
      </c>
      <c r="F10" s="34">
        <f>'3'!F10/'3'!$B$10</f>
        <v>377.16365620075163</v>
      </c>
      <c r="G10" s="35">
        <f t="shared" si="0"/>
        <v>16632.224875742515</v>
      </c>
      <c r="H10" s="11">
        <f>'3'!I10</f>
        <v>8052</v>
      </c>
      <c r="I10" s="34">
        <f>'3'!J10/'3'!I10</f>
        <v>13124.14393939394</v>
      </c>
      <c r="J10" s="34">
        <f>'3'!K10/'3'!I10</f>
        <v>101.04098360655738</v>
      </c>
      <c r="K10" s="34">
        <f>'3'!L10/'3'!I10</f>
        <v>4857.5683060109286</v>
      </c>
      <c r="L10" s="34">
        <f>'3'!M10/'3'!I10</f>
        <v>452.57563338301043</v>
      </c>
      <c r="M10" s="41">
        <f t="shared" si="1"/>
        <v>18535.328862394435</v>
      </c>
    </row>
    <row r="11" spans="1:13" ht="25.5" customHeight="1" x14ac:dyDescent="0.3">
      <c r="A11" s="37" t="s">
        <v>34</v>
      </c>
      <c r="B11" s="39">
        <f>'3'!B11</f>
        <v>7838</v>
      </c>
      <c r="C11" s="34">
        <f>'3'!C11/'3'!$B$11</f>
        <v>8707.1957131921408</v>
      </c>
      <c r="D11" s="34">
        <f>'3'!D11/'3'!$B$11</f>
        <v>0</v>
      </c>
      <c r="E11" s="34">
        <f>'3'!E11/'3'!$B$11</f>
        <v>3121.5871395764225</v>
      </c>
      <c r="F11" s="34">
        <f>'3'!F11/'3'!$B$11</f>
        <v>0</v>
      </c>
      <c r="G11" s="35">
        <f t="shared" si="0"/>
        <v>11828.782852768563</v>
      </c>
      <c r="H11" s="11">
        <f>'3'!I11</f>
        <v>7773</v>
      </c>
      <c r="I11" s="34">
        <f>'3'!J11/'3'!I11</f>
        <v>9658.5825292679783</v>
      </c>
      <c r="J11" s="34">
        <f>'3'!K11/'3'!I11</f>
        <v>0</v>
      </c>
      <c r="K11" s="34">
        <f>'3'!L11/'3'!I11</f>
        <v>3507.9467387109225</v>
      </c>
      <c r="L11" s="34">
        <f>'3'!M11/'3'!I11</f>
        <v>20.336034992924226</v>
      </c>
      <c r="M11" s="41">
        <f t="shared" si="1"/>
        <v>13186.865302971826</v>
      </c>
    </row>
    <row r="12" spans="1:13" ht="25.5" customHeight="1" x14ac:dyDescent="0.3">
      <c r="A12" s="37" t="s">
        <v>28</v>
      </c>
      <c r="B12" s="39">
        <f>'3'!B12</f>
        <v>27656</v>
      </c>
      <c r="C12" s="34">
        <f>'3'!C12/'3'!$B$12</f>
        <v>2985.970494648539</v>
      </c>
      <c r="D12" s="34">
        <f>'3'!D12/'3'!$B$12</f>
        <v>0.94012149262366218</v>
      </c>
      <c r="E12" s="34">
        <f>'3'!E12/'3'!$B$12</f>
        <v>1109.0902516632918</v>
      </c>
      <c r="F12" s="34">
        <f>'3'!F12/'3'!$B$12</f>
        <v>1.2753109632629447</v>
      </c>
      <c r="G12" s="35">
        <f t="shared" si="0"/>
        <v>4097.2761787677173</v>
      </c>
      <c r="H12" s="11">
        <f>'3'!I12</f>
        <v>26979</v>
      </c>
      <c r="I12" s="34">
        <f>'3'!J12/'3'!I12</f>
        <v>3193.4524259609325</v>
      </c>
      <c r="J12" s="34">
        <f>'3'!K12/'3'!I12</f>
        <v>1.5567663738463249</v>
      </c>
      <c r="K12" s="34">
        <f>'3'!L12/'3'!I12</f>
        <v>1199.4223284777049</v>
      </c>
      <c r="L12" s="34">
        <f>'3'!M12/'3'!I12</f>
        <v>4.1251343637644098</v>
      </c>
      <c r="M12" s="41">
        <f t="shared" si="1"/>
        <v>4398.5566551762477</v>
      </c>
    </row>
    <row r="13" spans="1:13" ht="25.5" customHeight="1" thickBot="1" x14ac:dyDescent="0.35">
      <c r="A13" s="42" t="s">
        <v>15</v>
      </c>
      <c r="B13" s="189">
        <f>'3'!B13</f>
        <v>11609</v>
      </c>
      <c r="C13" s="43">
        <f>'3'!C13/'3'!$B$13</f>
        <v>1797.1401498837108</v>
      </c>
      <c r="D13" s="43">
        <f>'3'!D13/'3'!$B$13</f>
        <v>465.84546472564392</v>
      </c>
      <c r="E13" s="43">
        <f>'3'!E13/'3'!$B$13</f>
        <v>835.12791799465936</v>
      </c>
      <c r="F13" s="43">
        <f>'3'!F13/'3'!$B$13</f>
        <v>86.082177620811436</v>
      </c>
      <c r="G13" s="44">
        <f t="shared" si="0"/>
        <v>3184.1957102248252</v>
      </c>
      <c r="H13" s="322">
        <f>'3'!I13</f>
        <v>7753</v>
      </c>
      <c r="I13" s="43">
        <f>'3'!J13/'3'!I13</f>
        <v>3135.0488843028506</v>
      </c>
      <c r="J13" s="43">
        <f>'3'!K13/'3'!I13</f>
        <v>753.0661679349929</v>
      </c>
      <c r="K13" s="43">
        <f>'3'!L13/'3'!I13</f>
        <v>1436.0900296659358</v>
      </c>
      <c r="L13" s="43">
        <f>'3'!M13/'3'!I13</f>
        <v>171.21746420740359</v>
      </c>
      <c r="M13" s="323">
        <f t="shared" si="1"/>
        <v>5495.4225461111828</v>
      </c>
    </row>
    <row r="14" spans="1:13" x14ac:dyDescent="0.3">
      <c r="B14" s="69"/>
      <c r="F14" s="400"/>
      <c r="G14" s="401"/>
    </row>
  </sheetData>
  <mergeCells count="4">
    <mergeCell ref="A5:A6"/>
    <mergeCell ref="B5:G5"/>
    <mergeCell ref="F14:G14"/>
    <mergeCell ref="H5:M5"/>
  </mergeCells>
  <pageMargins left="0.27559055118110237" right="0.70866141732283472" top="0.78740157480314965" bottom="0.78740157480314965" header="0.31496062992125984" footer="0.31496062992125984"/>
  <pageSetup paperSize="9" scale="9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25"/>
  <sheetViews>
    <sheetView workbookViewId="0">
      <selection activeCell="D12" sqref="D12"/>
    </sheetView>
  </sheetViews>
  <sheetFormatPr defaultColWidth="9.109375" defaultRowHeight="14.4" x14ac:dyDescent="0.3"/>
  <cols>
    <col min="1" max="1" width="20.5546875" style="1" customWidth="1"/>
    <col min="2" max="2" width="13.6640625" style="1" customWidth="1"/>
    <col min="3" max="5" width="14.33203125" style="1" customWidth="1"/>
    <col min="6" max="6" width="12.88671875" style="1" customWidth="1"/>
    <col min="7" max="7" width="14.44140625" style="1" customWidth="1"/>
    <col min="8" max="16384" width="9.109375" style="1"/>
  </cols>
  <sheetData>
    <row r="3" spans="1:17" ht="15" x14ac:dyDescent="0.3">
      <c r="A3" s="3" t="s">
        <v>37</v>
      </c>
      <c r="B3" s="68"/>
      <c r="C3" s="68"/>
      <c r="D3" s="68"/>
      <c r="E3" s="68"/>
      <c r="F3" s="68"/>
      <c r="G3" s="68"/>
    </row>
    <row r="4" spans="1:17" ht="15" thickBot="1" x14ac:dyDescent="0.35"/>
    <row r="5" spans="1:17" ht="15.75" customHeight="1" thickBot="1" x14ac:dyDescent="0.35">
      <c r="A5" s="402" t="s">
        <v>2</v>
      </c>
      <c r="B5" s="404">
        <v>2016</v>
      </c>
      <c r="C5" s="405"/>
      <c r="D5" s="408">
        <v>2017</v>
      </c>
      <c r="E5" s="409"/>
      <c r="F5" s="406" t="s">
        <v>116</v>
      </c>
      <c r="G5" s="407"/>
      <c r="J5" s="69"/>
      <c r="K5" s="69"/>
      <c r="L5" s="69"/>
      <c r="M5" s="69"/>
      <c r="N5" s="69"/>
      <c r="O5" s="69"/>
    </row>
    <row r="6" spans="1:17" ht="31.2" thickBot="1" x14ac:dyDescent="0.35">
      <c r="A6" s="403"/>
      <c r="B6" s="70" t="s">
        <v>87</v>
      </c>
      <c r="C6" s="8" t="s">
        <v>35</v>
      </c>
      <c r="D6" s="308" t="s">
        <v>114</v>
      </c>
      <c r="E6" s="46" t="s">
        <v>35</v>
      </c>
      <c r="F6" s="71" t="s">
        <v>20</v>
      </c>
      <c r="G6" s="72" t="s">
        <v>35</v>
      </c>
      <c r="J6" s="2"/>
      <c r="K6" s="2"/>
      <c r="L6" s="2"/>
      <c r="M6" s="69"/>
      <c r="N6" s="69"/>
      <c r="O6" s="69"/>
    </row>
    <row r="7" spans="1:17" ht="15" thickTop="1" x14ac:dyDescent="0.3">
      <c r="A7" s="33" t="s">
        <v>26</v>
      </c>
      <c r="B7" s="39">
        <v>172</v>
      </c>
      <c r="C7" s="73">
        <v>6045755</v>
      </c>
      <c r="D7" s="311">
        <v>166</v>
      </c>
      <c r="E7" s="313">
        <v>18846019</v>
      </c>
      <c r="F7" s="74">
        <f>D7/B7%</f>
        <v>96.511627906976742</v>
      </c>
      <c r="G7" s="75">
        <f>E7/C7%</f>
        <v>311.72316774331739</v>
      </c>
      <c r="I7" s="69"/>
      <c r="J7" s="146"/>
      <c r="K7" s="146"/>
      <c r="L7" s="69"/>
      <c r="M7" s="69"/>
      <c r="N7" s="69"/>
      <c r="O7" s="69"/>
      <c r="Q7" s="69"/>
    </row>
    <row r="8" spans="1:17" x14ac:dyDescent="0.3">
      <c r="A8" s="37" t="s">
        <v>36</v>
      </c>
      <c r="B8" s="76">
        <v>311</v>
      </c>
      <c r="C8" s="38">
        <v>16223101</v>
      </c>
      <c r="D8" s="311">
        <v>339</v>
      </c>
      <c r="E8" s="73">
        <v>16584140</v>
      </c>
      <c r="F8" s="74">
        <f t="shared" ref="F8:F12" si="0">D8/B8%</f>
        <v>109.0032154340836</v>
      </c>
      <c r="G8" s="75">
        <f t="shared" ref="G8:G12" si="1">E8/C8%</f>
        <v>102.22546232067469</v>
      </c>
      <c r="I8" s="69"/>
      <c r="J8" s="146"/>
      <c r="K8" s="146"/>
      <c r="L8" s="69"/>
      <c r="M8" s="69"/>
      <c r="N8" s="69"/>
      <c r="O8" s="69"/>
    </row>
    <row r="9" spans="1:17" x14ac:dyDescent="0.3">
      <c r="A9" s="37" t="s">
        <v>9</v>
      </c>
      <c r="B9" s="76">
        <v>633</v>
      </c>
      <c r="C9" s="38">
        <v>35300579</v>
      </c>
      <c r="D9" s="311">
        <v>774</v>
      </c>
      <c r="E9" s="73">
        <v>45697972</v>
      </c>
      <c r="F9" s="74">
        <f t="shared" si="0"/>
        <v>122.27488151658768</v>
      </c>
      <c r="G9" s="75">
        <f t="shared" si="1"/>
        <v>129.45388799430174</v>
      </c>
      <c r="I9" s="69"/>
      <c r="J9" s="146"/>
      <c r="K9" s="146"/>
      <c r="L9" s="69"/>
      <c r="M9" s="69"/>
      <c r="N9" s="69"/>
      <c r="O9" s="69"/>
    </row>
    <row r="10" spans="1:17" x14ac:dyDescent="0.3">
      <c r="A10" s="37" t="s">
        <v>34</v>
      </c>
      <c r="B10" s="76">
        <v>188</v>
      </c>
      <c r="C10" s="38">
        <v>1440687</v>
      </c>
      <c r="D10" s="311">
        <v>197</v>
      </c>
      <c r="E10" s="73">
        <v>2591562</v>
      </c>
      <c r="F10" s="74">
        <f t="shared" si="0"/>
        <v>104.78723404255319</v>
      </c>
      <c r="G10" s="75">
        <f t="shared" si="1"/>
        <v>179.88376378769294</v>
      </c>
      <c r="I10" s="69"/>
      <c r="J10" s="146"/>
      <c r="K10" s="146"/>
      <c r="L10" s="69"/>
      <c r="M10" s="69"/>
      <c r="N10" s="69"/>
      <c r="O10" s="69"/>
    </row>
    <row r="11" spans="1:17" ht="15" thickBot="1" x14ac:dyDescent="0.25">
      <c r="A11" s="77" t="s">
        <v>28</v>
      </c>
      <c r="B11" s="78">
        <v>1772</v>
      </c>
      <c r="C11" s="79">
        <v>7590114</v>
      </c>
      <c r="D11" s="312">
        <v>1733</v>
      </c>
      <c r="E11" s="314">
        <v>7064828</v>
      </c>
      <c r="F11" s="391">
        <f t="shared" si="0"/>
        <v>97.79909706546276</v>
      </c>
      <c r="G11" s="246">
        <f t="shared" si="1"/>
        <v>93.079339783302331</v>
      </c>
      <c r="I11" s="69"/>
      <c r="J11" s="146"/>
      <c r="K11" s="146"/>
      <c r="L11" s="69"/>
      <c r="M11" s="146"/>
      <c r="N11" s="2"/>
      <c r="O11" s="2"/>
    </row>
    <row r="12" spans="1:17" ht="15.6" thickTop="1" thickBot="1" x14ac:dyDescent="0.35">
      <c r="A12" s="64" t="s">
        <v>29</v>
      </c>
      <c r="B12" s="80">
        <f>SUM(B7:B11)</f>
        <v>3076</v>
      </c>
      <c r="C12" s="81">
        <f>SUM(C7:C11)</f>
        <v>66600236</v>
      </c>
      <c r="D12" s="309">
        <f>SUM(D7:D11)</f>
        <v>3209</v>
      </c>
      <c r="E12" s="310">
        <f>SUM(E7:E11)</f>
        <v>90784521</v>
      </c>
      <c r="F12" s="317">
        <f t="shared" si="0"/>
        <v>104.32379713914173</v>
      </c>
      <c r="G12" s="315">
        <f t="shared" si="1"/>
        <v>136.31261156491999</v>
      </c>
      <c r="I12" s="69"/>
      <c r="J12" s="146"/>
      <c r="K12" s="146"/>
      <c r="L12" s="69"/>
      <c r="M12" s="146"/>
      <c r="N12" s="2"/>
      <c r="O12" s="2"/>
    </row>
    <row r="13" spans="1:17" x14ac:dyDescent="0.3">
      <c r="I13" s="69"/>
      <c r="J13" s="146"/>
      <c r="K13" s="146"/>
      <c r="L13" s="69"/>
      <c r="M13" s="221"/>
      <c r="N13" s="2"/>
      <c r="O13" s="2"/>
    </row>
    <row r="14" spans="1:17" x14ac:dyDescent="0.3">
      <c r="I14" s="69"/>
      <c r="J14" s="146"/>
      <c r="K14" s="146"/>
      <c r="L14" s="69"/>
      <c r="M14" s="146"/>
      <c r="N14" s="2"/>
      <c r="O14" s="2"/>
    </row>
    <row r="15" spans="1:17" x14ac:dyDescent="0.3">
      <c r="I15" s="69"/>
      <c r="J15" s="146"/>
      <c r="K15" s="221"/>
      <c r="L15" s="146"/>
      <c r="M15" s="146"/>
      <c r="N15" s="2"/>
      <c r="O15" s="2"/>
    </row>
    <row r="16" spans="1:17" x14ac:dyDescent="0.3">
      <c r="I16" s="69"/>
      <c r="J16" s="146"/>
      <c r="K16" s="146"/>
      <c r="L16" s="146"/>
      <c r="M16" s="146"/>
      <c r="N16" s="2"/>
      <c r="O16" s="2"/>
    </row>
    <row r="17" spans="9:17" x14ac:dyDescent="0.3">
      <c r="I17" s="69"/>
      <c r="J17" s="146"/>
      <c r="K17" s="221"/>
      <c r="L17" s="146"/>
      <c r="M17" s="146"/>
      <c r="N17" s="2"/>
      <c r="O17" s="2"/>
    </row>
    <row r="18" spans="9:17" x14ac:dyDescent="0.3">
      <c r="I18" s="69"/>
      <c r="J18" s="146"/>
      <c r="K18" s="146"/>
      <c r="L18" s="146"/>
      <c r="M18" s="146"/>
      <c r="N18" s="2"/>
      <c r="O18" s="2"/>
    </row>
    <row r="19" spans="9:17" x14ac:dyDescent="0.3">
      <c r="I19" s="69"/>
      <c r="J19" s="146"/>
      <c r="K19" s="146"/>
      <c r="L19" s="146"/>
      <c r="M19" s="146"/>
      <c r="N19" s="2"/>
      <c r="O19" s="2"/>
      <c r="P19" s="2"/>
      <c r="Q19" s="2"/>
    </row>
    <row r="20" spans="9:17" x14ac:dyDescent="0.3">
      <c r="I20" s="69"/>
      <c r="J20" s="69"/>
      <c r="K20" s="69"/>
      <c r="L20" s="69"/>
      <c r="M20" s="69"/>
    </row>
    <row r="21" spans="9:17" x14ac:dyDescent="0.3">
      <c r="I21" s="217"/>
      <c r="J21" s="69"/>
      <c r="K21" s="69"/>
      <c r="L21" s="69"/>
      <c r="M21" s="69"/>
    </row>
    <row r="22" spans="9:17" x14ac:dyDescent="0.3">
      <c r="I22" s="69"/>
      <c r="J22" s="69"/>
      <c r="K22" s="69"/>
      <c r="L22" s="69"/>
      <c r="M22" s="69"/>
    </row>
    <row r="23" spans="9:17" x14ac:dyDescent="0.3">
      <c r="I23" s="217"/>
      <c r="J23" s="69"/>
      <c r="K23" s="69"/>
      <c r="L23" s="69"/>
      <c r="M23" s="69"/>
    </row>
    <row r="24" spans="9:17" x14ac:dyDescent="0.3">
      <c r="J24" s="69"/>
    </row>
    <row r="25" spans="9:17" x14ac:dyDescent="0.3">
      <c r="I25" s="69"/>
      <c r="J25" s="69"/>
    </row>
  </sheetData>
  <mergeCells count="4">
    <mergeCell ref="A5:A6"/>
    <mergeCell ref="B5:C5"/>
    <mergeCell ref="F5:G5"/>
    <mergeCell ref="D5:E5"/>
  </mergeCells>
  <pageMargins left="0.7" right="0.7" top="0.78740157499999996" bottom="0.78740157499999996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8"/>
  <sheetViews>
    <sheetView workbookViewId="0">
      <selection activeCell="G12" sqref="G12"/>
    </sheetView>
  </sheetViews>
  <sheetFormatPr defaultColWidth="9.109375" defaultRowHeight="14.4" x14ac:dyDescent="0.3"/>
  <cols>
    <col min="1" max="1" width="22.33203125" style="1" customWidth="1"/>
    <col min="2" max="2" width="12.44140625" style="1" customWidth="1"/>
    <col min="3" max="5" width="14" style="1" customWidth="1"/>
    <col min="6" max="6" width="12.109375" style="1" customWidth="1"/>
    <col min="7" max="7" width="14.44140625" style="1" customWidth="1"/>
    <col min="8" max="16384" width="9.109375" style="1"/>
  </cols>
  <sheetData>
    <row r="3" spans="1:7" ht="15" x14ac:dyDescent="0.3">
      <c r="A3" s="3" t="s">
        <v>38</v>
      </c>
      <c r="B3" s="68"/>
      <c r="C3" s="68"/>
      <c r="D3" s="68"/>
      <c r="E3" s="68"/>
      <c r="F3" s="68"/>
      <c r="G3" s="68"/>
    </row>
    <row r="4" spans="1:7" ht="15" thickBot="1" x14ac:dyDescent="0.35"/>
    <row r="5" spans="1:7" ht="15.75" customHeight="1" thickBot="1" x14ac:dyDescent="0.35">
      <c r="A5" s="402" t="s">
        <v>2</v>
      </c>
      <c r="B5" s="404">
        <v>2016</v>
      </c>
      <c r="C5" s="405"/>
      <c r="D5" s="404">
        <v>2017</v>
      </c>
      <c r="E5" s="405"/>
      <c r="F5" s="406" t="s">
        <v>116</v>
      </c>
      <c r="G5" s="407"/>
    </row>
    <row r="6" spans="1:7" ht="31.2" thickBot="1" x14ac:dyDescent="0.35">
      <c r="A6" s="403"/>
      <c r="B6" s="70" t="s">
        <v>87</v>
      </c>
      <c r="C6" s="72" t="s">
        <v>35</v>
      </c>
      <c r="D6" s="70" t="s">
        <v>114</v>
      </c>
      <c r="E6" s="72" t="s">
        <v>35</v>
      </c>
      <c r="F6" s="71" t="s">
        <v>20</v>
      </c>
      <c r="G6" s="72" t="s">
        <v>35</v>
      </c>
    </row>
    <row r="7" spans="1:7" ht="15" thickTop="1" x14ac:dyDescent="0.3">
      <c r="A7" s="33" t="s">
        <v>26</v>
      </c>
      <c r="B7" s="39">
        <f>'5'!B7</f>
        <v>172</v>
      </c>
      <c r="C7" s="73">
        <f>'5'!C7/'6'!B7</f>
        <v>35149.738372093023</v>
      </c>
      <c r="D7" s="39">
        <f>'5'!D7</f>
        <v>166</v>
      </c>
      <c r="E7" s="73">
        <f>'5'!E7/D7</f>
        <v>113530.23493975903</v>
      </c>
      <c r="F7" s="74">
        <f>D7/B7%</f>
        <v>96.511627906976742</v>
      </c>
      <c r="G7" s="75">
        <f>E7/C7%</f>
        <v>322.99027019187105</v>
      </c>
    </row>
    <row r="8" spans="1:7" x14ac:dyDescent="0.3">
      <c r="A8" s="37" t="s">
        <v>36</v>
      </c>
      <c r="B8" s="39">
        <f>'5'!B8</f>
        <v>311</v>
      </c>
      <c r="C8" s="38">
        <f>'5'!C8/'6'!B8</f>
        <v>52164.311897106112</v>
      </c>
      <c r="D8" s="39">
        <f>'5'!D8</f>
        <v>339</v>
      </c>
      <c r="E8" s="73">
        <f>'5'!E8/D8</f>
        <v>48920.76696165192</v>
      </c>
      <c r="F8" s="74">
        <f t="shared" ref="F8:F12" si="0">D8/B8%</f>
        <v>109.0032154340836</v>
      </c>
      <c r="G8" s="75">
        <f t="shared" ref="G8:G12" si="1">E8/C8%</f>
        <v>93.78206130303785</v>
      </c>
    </row>
    <row r="9" spans="1:7" x14ac:dyDescent="0.3">
      <c r="A9" s="37" t="s">
        <v>9</v>
      </c>
      <c r="B9" s="39">
        <f>'5'!B9</f>
        <v>633</v>
      </c>
      <c r="C9" s="38">
        <f>'5'!C9/'6'!B9</f>
        <v>55767.107424960508</v>
      </c>
      <c r="D9" s="39">
        <f>'5'!D9</f>
        <v>774</v>
      </c>
      <c r="E9" s="73">
        <f>'5'!E9/D9</f>
        <v>59041.307493540051</v>
      </c>
      <c r="F9" s="74">
        <f t="shared" si="0"/>
        <v>122.27488151658768</v>
      </c>
      <c r="G9" s="75">
        <f t="shared" si="1"/>
        <v>105.87120297208396</v>
      </c>
    </row>
    <row r="10" spans="1:7" x14ac:dyDescent="0.3">
      <c r="A10" s="82" t="s">
        <v>34</v>
      </c>
      <c r="B10" s="39">
        <f>'5'!B10</f>
        <v>188</v>
      </c>
      <c r="C10" s="38">
        <f>'5'!C10/'6'!B10</f>
        <v>7663.2287234042551</v>
      </c>
      <c r="D10" s="39">
        <f>'5'!D10</f>
        <v>197</v>
      </c>
      <c r="E10" s="73">
        <f>'5'!E10/D10</f>
        <v>13155.137055837564</v>
      </c>
      <c r="F10" s="74">
        <f t="shared" si="0"/>
        <v>104.78723404255319</v>
      </c>
      <c r="G10" s="75">
        <f t="shared" si="1"/>
        <v>171.66572381769683</v>
      </c>
    </row>
    <row r="11" spans="1:7" ht="15" thickBot="1" x14ac:dyDescent="0.35">
      <c r="A11" s="82" t="s">
        <v>28</v>
      </c>
      <c r="B11" s="238">
        <f>'5'!B11</f>
        <v>1772</v>
      </c>
      <c r="C11" s="237">
        <f>'5'!C11/'6'!B11</f>
        <v>4283.3600451467273</v>
      </c>
      <c r="D11" s="238">
        <f>'5'!D11</f>
        <v>1733</v>
      </c>
      <c r="E11" s="244">
        <f>'5'!E11/'6'!D11</f>
        <v>4076.6462781304099</v>
      </c>
      <c r="F11" s="245">
        <f t="shared" si="0"/>
        <v>97.79909706546276</v>
      </c>
      <c r="G11" s="246">
        <f t="shared" si="1"/>
        <v>95.174027753036185</v>
      </c>
    </row>
    <row r="12" spans="1:7" ht="15" thickBot="1" x14ac:dyDescent="0.35">
      <c r="A12" s="239" t="s">
        <v>29</v>
      </c>
      <c r="B12" s="249">
        <f>SUM(B7:B11)</f>
        <v>3076</v>
      </c>
      <c r="C12" s="167">
        <f>'5'!C12/'6'!B12</f>
        <v>21651.572171651496</v>
      </c>
      <c r="D12" s="243">
        <f>SUM(D7:D11)</f>
        <v>3209</v>
      </c>
      <c r="E12" s="316">
        <f>'5'!E12/'6'!D12</f>
        <v>28290.595512620755</v>
      </c>
      <c r="F12" s="247">
        <f t="shared" si="0"/>
        <v>104.32379713914173</v>
      </c>
      <c r="G12" s="248">
        <f t="shared" si="1"/>
        <v>130.66300815633963</v>
      </c>
    </row>
    <row r="18" spans="1:1" x14ac:dyDescent="0.3">
      <c r="A18" s="1" t="s">
        <v>1</v>
      </c>
    </row>
  </sheetData>
  <mergeCells count="4">
    <mergeCell ref="A5:A6"/>
    <mergeCell ref="D5:E5"/>
    <mergeCell ref="B5:C5"/>
    <mergeCell ref="F5:G5"/>
  </mergeCells>
  <pageMargins left="0.7" right="0.7" top="0.78740157499999996" bottom="0.78740157499999996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workbookViewId="0">
      <selection activeCell="D13" sqref="D13"/>
    </sheetView>
  </sheetViews>
  <sheetFormatPr defaultColWidth="9.109375" defaultRowHeight="14.4" x14ac:dyDescent="0.3"/>
  <cols>
    <col min="1" max="1" width="8.5546875" style="1" customWidth="1"/>
    <col min="2" max="2" width="10.33203125" style="1" customWidth="1"/>
    <col min="3" max="3" width="12.33203125" style="85" customWidth="1"/>
    <col min="4" max="4" width="9.44140625" style="1" bestFit="1" customWidth="1"/>
    <col min="5" max="5" width="10.33203125" style="1" customWidth="1"/>
    <col min="6" max="6" width="10.88671875" style="1" customWidth="1"/>
    <col min="7" max="7" width="8.6640625" style="1" customWidth="1"/>
    <col min="8" max="8" width="9.33203125" style="1" customWidth="1"/>
    <col min="9" max="9" width="9.44140625" style="1" customWidth="1"/>
    <col min="10" max="10" width="8.5546875" style="1" customWidth="1"/>
    <col min="11" max="11" width="9.6640625" style="1" customWidth="1"/>
    <col min="12" max="12" width="9.5546875" style="85" customWidth="1"/>
    <col min="13" max="13" width="8.33203125" style="1" customWidth="1"/>
    <col min="14" max="14" width="8.88671875" style="1" customWidth="1"/>
    <col min="15" max="15" width="9.88671875" style="1" customWidth="1"/>
    <col min="16" max="16" width="9.109375" style="1"/>
    <col min="17" max="17" width="10.88671875" style="1" bestFit="1" customWidth="1"/>
    <col min="18" max="18" width="12.33203125" style="1" bestFit="1" customWidth="1"/>
    <col min="19" max="19" width="10.88671875" style="1" bestFit="1" customWidth="1"/>
    <col min="20" max="16384" width="9.109375" style="1"/>
  </cols>
  <sheetData>
    <row r="1" spans="1:19" x14ac:dyDescent="0.3">
      <c r="A1" s="83"/>
    </row>
    <row r="2" spans="1:19" x14ac:dyDescent="0.3">
      <c r="A2" s="1" t="s">
        <v>1</v>
      </c>
      <c r="G2" s="85"/>
      <c r="H2" s="69"/>
      <c r="I2" s="69"/>
      <c r="J2" s="69"/>
      <c r="K2" s="69"/>
    </row>
    <row r="3" spans="1:19" x14ac:dyDescent="0.3">
      <c r="G3" s="85"/>
      <c r="H3" s="69"/>
      <c r="I3" s="69"/>
      <c r="J3" s="69"/>
      <c r="K3" s="69"/>
    </row>
    <row r="4" spans="1:19" ht="15" x14ac:dyDescent="0.3">
      <c r="A4" s="3" t="s">
        <v>90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200"/>
      <c r="N4" s="200"/>
      <c r="O4" s="200"/>
    </row>
    <row r="5" spans="1:19" ht="15" thickBot="1" x14ac:dyDescent="0.35"/>
    <row r="6" spans="1:19" ht="15" thickBot="1" x14ac:dyDescent="0.35">
      <c r="A6" s="410" t="s">
        <v>91</v>
      </c>
      <c r="B6" s="411"/>
      <c r="C6" s="411"/>
      <c r="D6" s="411"/>
      <c r="E6" s="411"/>
      <c r="F6" s="411"/>
      <c r="G6" s="411"/>
      <c r="H6" s="411"/>
      <c r="I6" s="411"/>
      <c r="J6" s="411"/>
      <c r="K6" s="411"/>
      <c r="L6" s="411"/>
      <c r="M6" s="411"/>
      <c r="N6" s="411"/>
      <c r="O6" s="412"/>
    </row>
    <row r="7" spans="1:19" ht="15" customHeight="1" x14ac:dyDescent="0.3">
      <c r="A7" s="413" t="s">
        <v>39</v>
      </c>
      <c r="B7" s="415" t="s">
        <v>40</v>
      </c>
      <c r="C7" s="417" t="s">
        <v>41</v>
      </c>
      <c r="D7" s="419" t="s">
        <v>42</v>
      </c>
      <c r="E7" s="421" t="s">
        <v>43</v>
      </c>
      <c r="F7" s="422"/>
      <c r="G7" s="422"/>
      <c r="H7" s="422"/>
      <c r="I7" s="422"/>
      <c r="J7" s="422"/>
      <c r="K7" s="422"/>
      <c r="L7" s="422"/>
      <c r="M7" s="422"/>
      <c r="N7" s="423"/>
      <c r="O7" s="413" t="s">
        <v>44</v>
      </c>
    </row>
    <row r="8" spans="1:19" ht="75" customHeight="1" thickBot="1" x14ac:dyDescent="0.35">
      <c r="A8" s="414"/>
      <c r="B8" s="416"/>
      <c r="C8" s="418"/>
      <c r="D8" s="420"/>
      <c r="E8" s="198" t="s">
        <v>45</v>
      </c>
      <c r="F8" s="199" t="s">
        <v>46</v>
      </c>
      <c r="G8" s="199" t="s">
        <v>47</v>
      </c>
      <c r="H8" s="199" t="s">
        <v>48</v>
      </c>
      <c r="I8" s="199" t="s">
        <v>49</v>
      </c>
      <c r="J8" s="199" t="s">
        <v>50</v>
      </c>
      <c r="K8" s="199" t="s">
        <v>80</v>
      </c>
      <c r="L8" s="88" t="s">
        <v>51</v>
      </c>
      <c r="M8" s="199" t="s">
        <v>52</v>
      </c>
      <c r="N8" s="89" t="s">
        <v>53</v>
      </c>
      <c r="O8" s="414"/>
    </row>
    <row r="9" spans="1:19" ht="21.75" customHeight="1" thickTop="1" x14ac:dyDescent="0.3">
      <c r="A9" s="90" t="s">
        <v>26</v>
      </c>
      <c r="B9" s="324">
        <v>980.60599999999999</v>
      </c>
      <c r="C9" s="325">
        <v>281989471</v>
      </c>
      <c r="D9" s="326">
        <f>C9/B9/12</f>
        <v>23963.878033923243</v>
      </c>
      <c r="E9" s="327">
        <f>31332200+173002542</f>
        <v>204334742</v>
      </c>
      <c r="F9" s="325">
        <f>38305171+3502295</f>
        <v>41807466</v>
      </c>
      <c r="G9" s="325">
        <f>5783773+707089</f>
        <v>6490862</v>
      </c>
      <c r="H9" s="325">
        <f>17447390+3780185</f>
        <v>21227575</v>
      </c>
      <c r="I9" s="325">
        <f>6708008+125809</f>
        <v>6833817</v>
      </c>
      <c r="J9" s="325">
        <v>241817</v>
      </c>
      <c r="K9" s="325">
        <f>18742</f>
        <v>18742</v>
      </c>
      <c r="L9" s="325">
        <v>858009</v>
      </c>
      <c r="M9" s="325">
        <f>9167+29942</f>
        <v>39109</v>
      </c>
      <c r="N9" s="325">
        <f>44033+93299</f>
        <v>137332</v>
      </c>
      <c r="O9" s="328">
        <v>2562049</v>
      </c>
      <c r="Q9" s="69"/>
      <c r="R9" s="69"/>
    </row>
    <row r="10" spans="1:19" ht="21.75" customHeight="1" x14ac:dyDescent="0.3">
      <c r="A10" s="91" t="s">
        <v>84</v>
      </c>
      <c r="B10" s="324">
        <f>1741.64+413.603+0.5+8.579</f>
        <v>2164.3220000000001</v>
      </c>
      <c r="C10" s="325">
        <v>739612385</v>
      </c>
      <c r="D10" s="326">
        <f t="shared" ref="D10:D15" si="0">C10/B10/12</f>
        <v>28477.447171292748</v>
      </c>
      <c r="E10" s="327">
        <v>509053273</v>
      </c>
      <c r="F10" s="325">
        <v>120407112</v>
      </c>
      <c r="G10" s="325">
        <v>17410115</v>
      </c>
      <c r="H10" s="325">
        <v>57097237</v>
      </c>
      <c r="I10" s="325">
        <v>13321175</v>
      </c>
      <c r="J10" s="325">
        <v>7289342</v>
      </c>
      <c r="K10" s="325">
        <v>949895</v>
      </c>
      <c r="L10" s="325">
        <v>13327057</v>
      </c>
      <c r="M10" s="325">
        <v>294605</v>
      </c>
      <c r="N10" s="329">
        <v>462574</v>
      </c>
      <c r="O10" s="328">
        <v>9979055</v>
      </c>
      <c r="Q10" s="69"/>
      <c r="R10" s="69"/>
    </row>
    <row r="11" spans="1:19" ht="21.75" customHeight="1" x14ac:dyDescent="0.3">
      <c r="A11" s="110" t="s">
        <v>110</v>
      </c>
      <c r="B11" s="324">
        <v>160.702</v>
      </c>
      <c r="C11" s="325">
        <v>60860924</v>
      </c>
      <c r="D11" s="326">
        <f t="shared" si="0"/>
        <v>31559.928729366569</v>
      </c>
      <c r="E11" s="327">
        <v>36581590</v>
      </c>
      <c r="F11" s="325">
        <v>9663642</v>
      </c>
      <c r="G11" s="325">
        <v>1908409</v>
      </c>
      <c r="H11" s="325">
        <v>9370024</v>
      </c>
      <c r="I11" s="325">
        <v>1103634</v>
      </c>
      <c r="J11" s="325">
        <v>1663013</v>
      </c>
      <c r="K11" s="325">
        <v>47253</v>
      </c>
      <c r="L11" s="325">
        <v>493130</v>
      </c>
      <c r="M11" s="325">
        <f>'9'!M10+'11'!K10</f>
        <v>0</v>
      </c>
      <c r="N11" s="329">
        <v>30229</v>
      </c>
      <c r="O11" s="328">
        <v>920365</v>
      </c>
      <c r="Q11" s="69"/>
      <c r="R11" s="69"/>
    </row>
    <row r="12" spans="1:19" ht="21.75" customHeight="1" x14ac:dyDescent="0.3">
      <c r="A12" s="91" t="s">
        <v>27</v>
      </c>
      <c r="B12" s="324">
        <v>241.458</v>
      </c>
      <c r="C12" s="325">
        <v>73039609</v>
      </c>
      <c r="D12" s="326">
        <f t="shared" si="0"/>
        <v>25207.837732994285</v>
      </c>
      <c r="E12" s="327">
        <v>53220939</v>
      </c>
      <c r="F12" s="325">
        <v>12425458</v>
      </c>
      <c r="G12" s="325">
        <v>856468</v>
      </c>
      <c r="H12" s="325">
        <v>5083408</v>
      </c>
      <c r="I12" s="325">
        <v>791703</v>
      </c>
      <c r="J12" s="325">
        <v>63510</v>
      </c>
      <c r="K12" s="325">
        <v>9693</v>
      </c>
      <c r="L12" s="325">
        <v>276255</v>
      </c>
      <c r="M12" s="325">
        <v>20336</v>
      </c>
      <c r="N12" s="329">
        <v>291839</v>
      </c>
      <c r="O12" s="328">
        <v>570353</v>
      </c>
      <c r="Q12" s="69"/>
      <c r="R12" s="69"/>
    </row>
    <row r="13" spans="1:19" ht="21.75" customHeight="1" x14ac:dyDescent="0.3">
      <c r="A13" s="92" t="s">
        <v>28</v>
      </c>
      <c r="B13" s="324">
        <v>481.24900000000002</v>
      </c>
      <c r="C13" s="325">
        <v>96897570</v>
      </c>
      <c r="D13" s="326">
        <f t="shared" si="0"/>
        <v>16778.834865111407</v>
      </c>
      <c r="E13" s="327">
        <v>75595458</v>
      </c>
      <c r="F13" s="325">
        <v>9252351</v>
      </c>
      <c r="G13" s="325">
        <v>1959850</v>
      </c>
      <c r="H13" s="325">
        <v>8090311</v>
      </c>
      <c r="I13" s="325">
        <v>1922965</v>
      </c>
      <c r="J13" s="325">
        <f>'9'!J12+'11'!J12</f>
        <v>0</v>
      </c>
      <c r="K13" s="325">
        <f>'9'!K12</f>
        <v>0</v>
      </c>
      <c r="L13" s="325">
        <f>'9'!L12</f>
        <v>0</v>
      </c>
      <c r="M13" s="325">
        <v>61160</v>
      </c>
      <c r="N13" s="329">
        <v>15475</v>
      </c>
      <c r="O13" s="328">
        <v>809322</v>
      </c>
      <c r="Q13" s="69"/>
      <c r="R13" s="69"/>
    </row>
    <row r="14" spans="1:19" ht="21.75" customHeight="1" thickBot="1" x14ac:dyDescent="0.35">
      <c r="A14" s="93" t="s">
        <v>54</v>
      </c>
      <c r="B14" s="330">
        <v>367.31099999999998</v>
      </c>
      <c r="C14" s="331">
        <v>131657146</v>
      </c>
      <c r="D14" s="332">
        <f t="shared" si="0"/>
        <v>29869.589621147567</v>
      </c>
      <c r="E14" s="333">
        <v>90658274</v>
      </c>
      <c r="F14" s="331">
        <v>21783163</v>
      </c>
      <c r="G14" s="331">
        <v>4126881</v>
      </c>
      <c r="H14" s="331">
        <v>8820018</v>
      </c>
      <c r="I14" s="331">
        <v>3289468</v>
      </c>
      <c r="J14" s="331">
        <v>33186</v>
      </c>
      <c r="K14" s="331">
        <v>9640</v>
      </c>
      <c r="L14" s="331">
        <v>2494914</v>
      </c>
      <c r="M14" s="331">
        <v>96126</v>
      </c>
      <c r="N14" s="334">
        <v>345476</v>
      </c>
      <c r="O14" s="335">
        <v>8005208</v>
      </c>
      <c r="Q14" s="69"/>
      <c r="R14" s="69"/>
      <c r="S14" s="69"/>
    </row>
    <row r="15" spans="1:19" ht="21.75" customHeight="1" thickTop="1" thickBot="1" x14ac:dyDescent="0.35">
      <c r="A15" s="94" t="s">
        <v>55</v>
      </c>
      <c r="B15" s="95">
        <f>SUM(B9:B14)</f>
        <v>4395.6480000000001</v>
      </c>
      <c r="C15" s="96">
        <f>SUM(C9:C14)</f>
        <v>1384057105</v>
      </c>
      <c r="D15" s="97">
        <f t="shared" si="0"/>
        <v>26239.155656534218</v>
      </c>
      <c r="E15" s="98">
        <f>SUM(E9:E14)</f>
        <v>969444276</v>
      </c>
      <c r="F15" s="99">
        <f t="shared" ref="F15:M15" si="1">SUM(F9:F14)</f>
        <v>215339192</v>
      </c>
      <c r="G15" s="99">
        <f t="shared" si="1"/>
        <v>32752585</v>
      </c>
      <c r="H15" s="99">
        <f t="shared" si="1"/>
        <v>109688573</v>
      </c>
      <c r="I15" s="99">
        <f t="shared" si="1"/>
        <v>27262762</v>
      </c>
      <c r="J15" s="99">
        <f t="shared" si="1"/>
        <v>9290868</v>
      </c>
      <c r="K15" s="99">
        <f t="shared" si="1"/>
        <v>1035223</v>
      </c>
      <c r="L15" s="99">
        <f t="shared" si="1"/>
        <v>17449365</v>
      </c>
      <c r="M15" s="99">
        <f t="shared" si="1"/>
        <v>511336</v>
      </c>
      <c r="N15" s="100">
        <f>SUM(N9:N14)</f>
        <v>1282925</v>
      </c>
      <c r="O15" s="101">
        <v>22846352</v>
      </c>
      <c r="Q15" s="69"/>
      <c r="R15" s="69"/>
    </row>
    <row r="16" spans="1:19" ht="21.75" customHeight="1" x14ac:dyDescent="0.3">
      <c r="C16" s="69"/>
      <c r="F16" s="69"/>
      <c r="G16" s="69"/>
      <c r="H16" s="69"/>
      <c r="I16" s="69"/>
      <c r="J16" s="85"/>
      <c r="L16" s="1"/>
      <c r="M16" s="69"/>
      <c r="O16" s="69"/>
    </row>
    <row r="17" spans="2:12" x14ac:dyDescent="0.3">
      <c r="L17" s="1"/>
    </row>
    <row r="18" spans="2:12" x14ac:dyDescent="0.3">
      <c r="B18" s="85"/>
      <c r="J18" s="85"/>
      <c r="L18" s="1"/>
    </row>
    <row r="19" spans="2:12" x14ac:dyDescent="0.3">
      <c r="B19" s="85"/>
      <c r="J19" s="85"/>
      <c r="L19" s="1"/>
    </row>
    <row r="20" spans="2:12" x14ac:dyDescent="0.3">
      <c r="B20" s="85"/>
      <c r="J20" s="85"/>
      <c r="L20" s="1"/>
    </row>
    <row r="21" spans="2:12" x14ac:dyDescent="0.3">
      <c r="B21" s="85"/>
      <c r="C21" s="69"/>
      <c r="D21" s="85"/>
      <c r="E21" s="85"/>
    </row>
    <row r="22" spans="2:12" x14ac:dyDescent="0.3">
      <c r="B22" s="234"/>
      <c r="C22" s="235"/>
      <c r="D22" s="234"/>
      <c r="E22" s="234"/>
    </row>
    <row r="23" spans="2:12" x14ac:dyDescent="0.3">
      <c r="B23" s="234"/>
      <c r="C23" s="235"/>
      <c r="D23" s="234"/>
      <c r="E23" s="234"/>
    </row>
  </sheetData>
  <mergeCells count="7">
    <mergeCell ref="A6:O6"/>
    <mergeCell ref="A7:A8"/>
    <mergeCell ref="B7:B8"/>
    <mergeCell ref="C7:C8"/>
    <mergeCell ref="D7:D8"/>
    <mergeCell ref="E7:N7"/>
    <mergeCell ref="O7:O8"/>
  </mergeCells>
  <pageMargins left="0.19685039370078741" right="0.19685039370078741" top="0.78740157480314965" bottom="0.78740157480314965" header="0.31496062992125984" footer="0.31496062992125984"/>
  <pageSetup paperSize="9" scale="7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workbookViewId="0">
      <selection activeCell="S12" sqref="S12"/>
    </sheetView>
  </sheetViews>
  <sheetFormatPr defaultRowHeight="14.4" x14ac:dyDescent="0.3"/>
  <cols>
    <col min="1" max="1" width="10" customWidth="1"/>
    <col min="2" max="2" width="10.109375" customWidth="1"/>
    <col min="3" max="4" width="9.5546875" customWidth="1"/>
    <col min="5" max="5" width="10.33203125" customWidth="1"/>
    <col min="6" max="6" width="9.88671875" customWidth="1"/>
    <col min="7" max="7" width="9.5546875" customWidth="1"/>
    <col min="8" max="8" width="9" customWidth="1"/>
    <col min="9" max="9" width="8.44140625" customWidth="1"/>
    <col min="10" max="10" width="9" customWidth="1"/>
    <col min="11" max="11" width="10.109375" customWidth="1"/>
    <col min="12" max="12" width="9.44140625" customWidth="1"/>
    <col min="13" max="13" width="7.88671875" customWidth="1"/>
    <col min="14" max="14" width="8" customWidth="1"/>
    <col min="15" max="15" width="12.33203125" customWidth="1"/>
    <col min="17" max="17" width="10.88671875" bestFit="1" customWidth="1"/>
    <col min="18" max="18" width="9.88671875" bestFit="1" customWidth="1"/>
  </cols>
  <sheetData>
    <row r="1" spans="1:18" x14ac:dyDescent="0.3">
      <c r="A1" s="1"/>
      <c r="B1" s="1"/>
      <c r="C1" s="1"/>
      <c r="D1" s="1"/>
      <c r="E1" s="1"/>
      <c r="F1" s="1"/>
      <c r="G1" s="1"/>
      <c r="H1" s="69"/>
      <c r="I1" s="69"/>
      <c r="J1" s="69"/>
      <c r="K1" s="69"/>
      <c r="L1" s="1"/>
      <c r="M1" s="1"/>
      <c r="N1" s="1"/>
      <c r="O1" s="1"/>
    </row>
    <row r="2" spans="1:18" x14ac:dyDescent="0.3">
      <c r="A2" s="1" t="s">
        <v>1</v>
      </c>
      <c r="B2" s="1"/>
      <c r="C2" s="1"/>
      <c r="D2" s="1"/>
      <c r="E2" s="1"/>
      <c r="F2" s="1"/>
      <c r="G2" s="1"/>
      <c r="H2" s="69"/>
      <c r="I2" s="69"/>
      <c r="J2" s="69"/>
      <c r="K2" s="69"/>
      <c r="L2" s="1"/>
      <c r="M2" s="1"/>
      <c r="N2" s="1"/>
      <c r="O2" s="1"/>
    </row>
    <row r="3" spans="1:18" ht="15" x14ac:dyDescent="0.3">
      <c r="A3" s="3" t="s">
        <v>92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"/>
      <c r="N3" s="6"/>
      <c r="O3" s="6"/>
    </row>
    <row r="4" spans="1:18" ht="15" thickBot="1" x14ac:dyDescent="0.35">
      <c r="A4" s="1"/>
      <c r="B4" s="1"/>
      <c r="C4" s="1"/>
      <c r="D4" s="1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"/>
    </row>
    <row r="5" spans="1:18" ht="15" thickBot="1" x14ac:dyDescent="0.35">
      <c r="A5" s="410" t="s">
        <v>93</v>
      </c>
      <c r="B5" s="411"/>
      <c r="C5" s="411"/>
      <c r="D5" s="411"/>
      <c r="E5" s="411"/>
      <c r="F5" s="411"/>
      <c r="G5" s="411"/>
      <c r="H5" s="411"/>
      <c r="I5" s="411"/>
      <c r="J5" s="411"/>
      <c r="K5" s="411"/>
      <c r="L5" s="411"/>
      <c r="M5" s="411"/>
      <c r="N5" s="411"/>
      <c r="O5" s="412"/>
    </row>
    <row r="6" spans="1:18" ht="15" customHeight="1" x14ac:dyDescent="0.3">
      <c r="A6" s="424" t="s">
        <v>39</v>
      </c>
      <c r="B6" s="426" t="s">
        <v>40</v>
      </c>
      <c r="C6" s="417" t="s">
        <v>56</v>
      </c>
      <c r="D6" s="419" t="s">
        <v>42</v>
      </c>
      <c r="E6" s="428" t="s">
        <v>43</v>
      </c>
      <c r="F6" s="429"/>
      <c r="G6" s="429"/>
      <c r="H6" s="429"/>
      <c r="I6" s="429"/>
      <c r="J6" s="429"/>
      <c r="K6" s="429"/>
      <c r="L6" s="429"/>
      <c r="M6" s="429"/>
      <c r="N6" s="430"/>
      <c r="O6" s="413" t="s">
        <v>57</v>
      </c>
    </row>
    <row r="7" spans="1:18" ht="63.75" customHeight="1" thickBot="1" x14ac:dyDescent="0.35">
      <c r="A7" s="425"/>
      <c r="B7" s="427"/>
      <c r="C7" s="418"/>
      <c r="D7" s="420"/>
      <c r="E7" s="187" t="s">
        <v>45</v>
      </c>
      <c r="F7" s="188" t="s">
        <v>46</v>
      </c>
      <c r="G7" s="188" t="s">
        <v>47</v>
      </c>
      <c r="H7" s="188" t="s">
        <v>48</v>
      </c>
      <c r="I7" s="188" t="s">
        <v>49</v>
      </c>
      <c r="J7" s="188" t="s">
        <v>50</v>
      </c>
      <c r="K7" s="195" t="s">
        <v>79</v>
      </c>
      <c r="L7" s="188" t="s">
        <v>51</v>
      </c>
      <c r="M7" s="188" t="s">
        <v>52</v>
      </c>
      <c r="N7" s="89" t="s">
        <v>53</v>
      </c>
      <c r="O7" s="414"/>
    </row>
    <row r="8" spans="1:18" ht="27.75" customHeight="1" thickTop="1" x14ac:dyDescent="0.3">
      <c r="A8" s="90" t="s">
        <v>83</v>
      </c>
      <c r="B8" s="338">
        <v>1162.3710000000001</v>
      </c>
      <c r="C8" s="339">
        <v>412751450</v>
      </c>
      <c r="D8" s="340">
        <f>C8/B8/12</f>
        <v>29591.201231505827</v>
      </c>
      <c r="E8" s="341">
        <v>280419411</v>
      </c>
      <c r="F8" s="339">
        <v>70215913</v>
      </c>
      <c r="G8" s="339">
        <v>16562169</v>
      </c>
      <c r="H8" s="339">
        <v>22811022</v>
      </c>
      <c r="I8" s="339">
        <v>7928433</v>
      </c>
      <c r="J8" s="339">
        <v>3854139</v>
      </c>
      <c r="K8" s="339">
        <v>597185</v>
      </c>
      <c r="L8" s="339">
        <v>9535746</v>
      </c>
      <c r="M8" s="339">
        <v>580251</v>
      </c>
      <c r="N8" s="342">
        <v>247181</v>
      </c>
      <c r="O8" s="343">
        <v>7821971</v>
      </c>
      <c r="Q8" s="119"/>
      <c r="R8" s="119"/>
    </row>
    <row r="9" spans="1:18" ht="27.75" customHeight="1" x14ac:dyDescent="0.3">
      <c r="A9" s="91" t="s">
        <v>10</v>
      </c>
      <c r="B9" s="338">
        <v>31.632999999999999</v>
      </c>
      <c r="C9" s="339">
        <v>11541608</v>
      </c>
      <c r="D9" s="340">
        <f t="shared" ref="D9:D15" si="0">C9/B9/12</f>
        <v>30404.977923898041</v>
      </c>
      <c r="E9" s="341">
        <v>8061917</v>
      </c>
      <c r="F9" s="339">
        <v>2137889</v>
      </c>
      <c r="G9" s="339">
        <v>400354</v>
      </c>
      <c r="H9" s="339">
        <v>409406</v>
      </c>
      <c r="I9" s="339">
        <v>320082</v>
      </c>
      <c r="J9" s="339">
        <v>98311</v>
      </c>
      <c r="K9" s="339">
        <f>'10'!K9</f>
        <v>0</v>
      </c>
      <c r="L9" s="339">
        <v>86301</v>
      </c>
      <c r="M9" s="339">
        <v>13241</v>
      </c>
      <c r="N9" s="342">
        <v>14107</v>
      </c>
      <c r="O9" s="344">
        <v>770275</v>
      </c>
      <c r="Q9" s="119"/>
      <c r="R9" s="119"/>
    </row>
    <row r="10" spans="1:18" ht="27.75" customHeight="1" x14ac:dyDescent="0.3">
      <c r="A10" s="91" t="s">
        <v>94</v>
      </c>
      <c r="B10" s="338">
        <v>91.507000000000005</v>
      </c>
      <c r="C10" s="339">
        <v>33054041</v>
      </c>
      <c r="D10" s="340">
        <f>C10/B10/12</f>
        <v>30101.559625675265</v>
      </c>
      <c r="E10" s="341">
        <v>20881021</v>
      </c>
      <c r="F10" s="339">
        <v>5412855</v>
      </c>
      <c r="G10" s="339">
        <v>1830428</v>
      </c>
      <c r="H10" s="339">
        <v>3213176</v>
      </c>
      <c r="I10" s="339">
        <v>624740</v>
      </c>
      <c r="J10" s="339">
        <v>929612</v>
      </c>
      <c r="K10" s="339">
        <v>60053</v>
      </c>
      <c r="L10" s="339">
        <v>71590</v>
      </c>
      <c r="M10" s="339">
        <v>16397</v>
      </c>
      <c r="N10" s="342">
        <v>14169</v>
      </c>
      <c r="O10" s="344">
        <v>501680</v>
      </c>
      <c r="Q10" s="119"/>
      <c r="R10" s="119"/>
    </row>
    <row r="11" spans="1:18" ht="27.75" customHeight="1" x14ac:dyDescent="0.3">
      <c r="A11" s="91" t="s">
        <v>34</v>
      </c>
      <c r="B11" s="338">
        <v>10.71</v>
      </c>
      <c r="C11" s="339">
        <v>3423115</v>
      </c>
      <c r="D11" s="340">
        <f t="shared" si="0"/>
        <v>26634.881730469962</v>
      </c>
      <c r="E11" s="341">
        <v>2312813</v>
      </c>
      <c r="F11" s="339">
        <v>604209</v>
      </c>
      <c r="G11" s="339">
        <v>112127</v>
      </c>
      <c r="H11" s="339">
        <v>270037</v>
      </c>
      <c r="I11" s="339">
        <v>37239</v>
      </c>
      <c r="J11" s="339">
        <v>70314</v>
      </c>
      <c r="K11" s="339">
        <f>'10'!K11</f>
        <v>0</v>
      </c>
      <c r="L11" s="339">
        <f>'10'!L11</f>
        <v>0</v>
      </c>
      <c r="M11" s="339">
        <f>'10'!M11+'12'!K11</f>
        <v>0</v>
      </c>
      <c r="N11" s="342">
        <v>16376</v>
      </c>
      <c r="O11" s="344">
        <v>12320</v>
      </c>
      <c r="Q11" s="119"/>
      <c r="R11" s="119"/>
    </row>
    <row r="12" spans="1:18" ht="27.75" customHeight="1" x14ac:dyDescent="0.3">
      <c r="A12" s="92" t="s">
        <v>28</v>
      </c>
      <c r="B12" s="338">
        <v>52.33</v>
      </c>
      <c r="C12" s="339">
        <v>10313848</v>
      </c>
      <c r="D12" s="340">
        <f>C12/B12/12</f>
        <v>16424.370979043251</v>
      </c>
      <c r="E12" s="341">
        <v>7841293</v>
      </c>
      <c r="F12" s="339">
        <v>984327</v>
      </c>
      <c r="G12" s="339">
        <v>563295</v>
      </c>
      <c r="H12" s="339">
        <v>628529</v>
      </c>
      <c r="I12" s="339">
        <v>196323</v>
      </c>
      <c r="J12" s="339">
        <v>52881</v>
      </c>
      <c r="K12" s="339">
        <f>'10'!K12</f>
        <v>0</v>
      </c>
      <c r="L12" s="339">
        <f>'10'!L12</f>
        <v>0</v>
      </c>
      <c r="M12" s="339">
        <v>28214</v>
      </c>
      <c r="N12" s="342">
        <v>18986</v>
      </c>
      <c r="O12" s="344">
        <v>162250</v>
      </c>
      <c r="P12" s="252"/>
      <c r="Q12" s="119"/>
      <c r="R12" s="119"/>
    </row>
    <row r="13" spans="1:18" ht="27.75" customHeight="1" x14ac:dyDescent="0.3">
      <c r="A13" s="103" t="s">
        <v>11</v>
      </c>
      <c r="B13" s="338">
        <v>148.697</v>
      </c>
      <c r="C13" s="339">
        <v>46425492</v>
      </c>
      <c r="D13" s="340">
        <f t="shared" si="0"/>
        <v>26017.949252506776</v>
      </c>
      <c r="E13" s="341">
        <v>29527950</v>
      </c>
      <c r="F13" s="339">
        <v>6032382</v>
      </c>
      <c r="G13" s="339">
        <v>2052280</v>
      </c>
      <c r="H13" s="339">
        <v>2518236</v>
      </c>
      <c r="I13" s="339">
        <v>955560</v>
      </c>
      <c r="J13" s="339">
        <v>563940</v>
      </c>
      <c r="K13" s="339">
        <f>'10'!K13</f>
        <v>0</v>
      </c>
      <c r="L13" s="339">
        <v>0</v>
      </c>
      <c r="M13" s="339">
        <v>550748</v>
      </c>
      <c r="N13" s="342">
        <v>4224396</v>
      </c>
      <c r="O13" s="344">
        <v>937141</v>
      </c>
      <c r="Q13" s="119"/>
      <c r="R13" s="119"/>
    </row>
    <row r="14" spans="1:18" ht="27.75" customHeight="1" x14ac:dyDescent="0.3">
      <c r="A14" s="103" t="s">
        <v>8</v>
      </c>
      <c r="B14" s="345">
        <v>4.1150000000000002</v>
      </c>
      <c r="C14" s="346">
        <v>1601475</v>
      </c>
      <c r="D14" s="347">
        <f t="shared" si="0"/>
        <v>32431.652490886994</v>
      </c>
      <c r="E14" s="348">
        <v>1053897</v>
      </c>
      <c r="F14" s="346">
        <v>178135</v>
      </c>
      <c r="G14" s="346">
        <v>77357</v>
      </c>
      <c r="H14" s="346">
        <v>247929</v>
      </c>
      <c r="I14" s="346">
        <v>0</v>
      </c>
      <c r="J14" s="346">
        <v>36840</v>
      </c>
      <c r="K14" s="346">
        <v>5650</v>
      </c>
      <c r="L14" s="346">
        <v>0</v>
      </c>
      <c r="M14" s="346">
        <v>264</v>
      </c>
      <c r="N14" s="349">
        <v>1403</v>
      </c>
      <c r="O14" s="350">
        <v>0</v>
      </c>
      <c r="Q14" s="119"/>
      <c r="R14" s="119"/>
    </row>
    <row r="15" spans="1:18" ht="27.75" customHeight="1" x14ac:dyDescent="0.3">
      <c r="A15" s="103" t="s">
        <v>95</v>
      </c>
      <c r="B15" s="345">
        <v>14.276</v>
      </c>
      <c r="C15" s="346">
        <v>5592237</v>
      </c>
      <c r="D15" s="347">
        <f t="shared" si="0"/>
        <v>32643.580134491454</v>
      </c>
      <c r="E15" s="348">
        <v>3759747</v>
      </c>
      <c r="F15" s="346">
        <v>930706</v>
      </c>
      <c r="G15" s="346">
        <v>389356</v>
      </c>
      <c r="H15" s="346">
        <v>333225</v>
      </c>
      <c r="I15" s="346">
        <v>117607</v>
      </c>
      <c r="J15" s="346">
        <v>61596</v>
      </c>
      <c r="K15" s="346">
        <v>0</v>
      </c>
      <c r="L15" s="346">
        <v>0</v>
      </c>
      <c r="M15" s="346">
        <v>0</v>
      </c>
      <c r="N15" s="349">
        <v>0</v>
      </c>
      <c r="O15" s="350">
        <v>111375</v>
      </c>
      <c r="Q15" s="119"/>
      <c r="R15" s="119"/>
    </row>
    <row r="16" spans="1:18" ht="27.75" customHeight="1" thickBot="1" x14ac:dyDescent="0.35">
      <c r="A16" s="93" t="s">
        <v>58</v>
      </c>
      <c r="B16" s="351">
        <v>192.98699999999999</v>
      </c>
      <c r="C16" s="352">
        <v>59528870</v>
      </c>
      <c r="D16" s="353">
        <f>C16/B16/12</f>
        <v>25705.043172165311</v>
      </c>
      <c r="E16" s="354">
        <v>42732097</v>
      </c>
      <c r="F16" s="352">
        <v>9418679</v>
      </c>
      <c r="G16" s="352">
        <v>2308186</v>
      </c>
      <c r="H16" s="352">
        <v>2504136</v>
      </c>
      <c r="I16" s="352">
        <v>1442664</v>
      </c>
      <c r="J16" s="352">
        <v>70747</v>
      </c>
      <c r="K16" s="352">
        <f>'10'!K16</f>
        <v>0</v>
      </c>
      <c r="L16" s="352">
        <v>36142</v>
      </c>
      <c r="M16" s="352">
        <v>93710</v>
      </c>
      <c r="N16" s="355">
        <v>922509</v>
      </c>
      <c r="O16" s="356">
        <v>1665824</v>
      </c>
      <c r="Q16" s="119"/>
      <c r="R16" s="119"/>
    </row>
    <row r="17" spans="1:18" ht="27.75" customHeight="1" thickTop="1" thickBot="1" x14ac:dyDescent="0.35">
      <c r="A17" s="94" t="s">
        <v>55</v>
      </c>
      <c r="B17" s="104">
        <f>SUM(B8:B16)</f>
        <v>1708.6260000000002</v>
      </c>
      <c r="C17" s="105">
        <f>SUM(C8:C16)</f>
        <v>584232136</v>
      </c>
      <c r="D17" s="99">
        <f>C17/B17/12</f>
        <v>28494.247034361721</v>
      </c>
      <c r="E17" s="106">
        <f>SUM(E8:E16)</f>
        <v>396590146</v>
      </c>
      <c r="F17" s="105">
        <f>SUM(F8:F16)</f>
        <v>95915095</v>
      </c>
      <c r="G17" s="105">
        <f t="shared" ref="G17:N17" si="1">SUM(G8:G16)</f>
        <v>24295552</v>
      </c>
      <c r="H17" s="105">
        <f t="shared" si="1"/>
        <v>32935696</v>
      </c>
      <c r="I17" s="105">
        <f t="shared" si="1"/>
        <v>11622648</v>
      </c>
      <c r="J17" s="105">
        <f t="shared" si="1"/>
        <v>5738380</v>
      </c>
      <c r="K17" s="105">
        <f t="shared" si="1"/>
        <v>662888</v>
      </c>
      <c r="L17" s="105">
        <f t="shared" si="1"/>
        <v>9729779</v>
      </c>
      <c r="M17" s="105">
        <f t="shared" si="1"/>
        <v>1282825</v>
      </c>
      <c r="N17" s="100">
        <f t="shared" si="1"/>
        <v>5459127</v>
      </c>
      <c r="O17" s="107">
        <f>SUM(O8:O16)</f>
        <v>11982836</v>
      </c>
      <c r="Q17" s="119"/>
      <c r="R17" s="119"/>
    </row>
    <row r="18" spans="1:18" x14ac:dyDescent="0.3">
      <c r="A18" s="180"/>
      <c r="B18" s="180"/>
      <c r="C18" s="181"/>
      <c r="D18" s="182"/>
      <c r="E18" s="181"/>
      <c r="F18" s="181"/>
      <c r="G18" s="181"/>
      <c r="H18" s="181"/>
      <c r="I18" s="181"/>
      <c r="J18" s="181"/>
      <c r="K18" s="181"/>
      <c r="L18" s="181"/>
      <c r="M18" s="181"/>
      <c r="N18" s="181"/>
      <c r="O18" s="181"/>
    </row>
    <row r="19" spans="1:18" x14ac:dyDescent="0.3">
      <c r="A19" s="180"/>
      <c r="B19" s="183"/>
      <c r="C19" s="183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8" x14ac:dyDescent="0.3">
      <c r="A20" s="180"/>
      <c r="B20" s="180"/>
      <c r="C20" s="180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"/>
    </row>
    <row r="21" spans="1:18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8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8" x14ac:dyDescent="0.3">
      <c r="A23" s="1"/>
      <c r="B23" s="1"/>
      <c r="C23" s="1"/>
      <c r="D23" s="69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8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</sheetData>
  <mergeCells count="7">
    <mergeCell ref="A5:O5"/>
    <mergeCell ref="A6:A7"/>
    <mergeCell ref="B6:B7"/>
    <mergeCell ref="C6:C7"/>
    <mergeCell ref="D6:D7"/>
    <mergeCell ref="E6:N6"/>
    <mergeCell ref="O6:O7"/>
  </mergeCells>
  <pageMargins left="0.2" right="0.2" top="0.78740157499999996" bottom="0.78740157499999996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"/>
  <sheetViews>
    <sheetView workbookViewId="0">
      <selection activeCell="U8" sqref="U8"/>
    </sheetView>
  </sheetViews>
  <sheetFormatPr defaultRowHeight="14.4" x14ac:dyDescent="0.3"/>
  <cols>
    <col min="1" max="1" width="8.6640625" customWidth="1"/>
    <col min="2" max="2" width="10.109375" customWidth="1"/>
    <col min="3" max="3" width="11.44140625" customWidth="1"/>
    <col min="4" max="4" width="11.109375" customWidth="1"/>
    <col min="5" max="5" width="9.88671875" customWidth="1"/>
    <col min="6" max="6" width="9.6640625" customWidth="1"/>
    <col min="7" max="7" width="10.33203125" bestFit="1" customWidth="1"/>
    <col min="8" max="10" width="9.5546875" bestFit="1" customWidth="1"/>
    <col min="11" max="11" width="10.88671875" customWidth="1"/>
    <col min="12" max="12" width="10.44140625" customWidth="1"/>
    <col min="13" max="13" width="9.5546875" bestFit="1" customWidth="1"/>
    <col min="14" max="14" width="9.5546875" customWidth="1"/>
    <col min="16" max="16" width="13.33203125" customWidth="1"/>
  </cols>
  <sheetData>
    <row r="1" spans="1:17" x14ac:dyDescent="0.3">
      <c r="A1" s="1"/>
      <c r="B1" s="1"/>
      <c r="C1" s="1"/>
      <c r="D1" s="1"/>
      <c r="E1" s="1"/>
      <c r="F1" s="1"/>
      <c r="G1" s="1"/>
      <c r="H1" s="69"/>
      <c r="I1" s="69"/>
      <c r="J1" s="69"/>
      <c r="K1" s="69"/>
      <c r="L1" s="1"/>
      <c r="M1" s="1"/>
      <c r="N1" s="1"/>
    </row>
    <row r="2" spans="1:17" x14ac:dyDescent="0.3">
      <c r="A2" s="1"/>
      <c r="B2" s="1"/>
      <c r="C2" s="1"/>
      <c r="D2" s="1"/>
      <c r="E2" s="1"/>
      <c r="F2" s="1"/>
      <c r="G2" s="1"/>
      <c r="H2" s="69"/>
      <c r="I2" s="69"/>
      <c r="J2" s="69"/>
      <c r="K2" s="69"/>
      <c r="L2" s="1"/>
      <c r="M2" s="1"/>
      <c r="N2" s="1"/>
    </row>
    <row r="3" spans="1:17" ht="15" customHeight="1" x14ac:dyDescent="0.3">
      <c r="A3" s="431" t="s">
        <v>105</v>
      </c>
      <c r="B3" s="431"/>
      <c r="C3" s="431"/>
      <c r="D3" s="431"/>
      <c r="E3" s="431"/>
      <c r="F3" s="431"/>
      <c r="G3" s="431"/>
      <c r="H3" s="431"/>
      <c r="I3" s="431"/>
      <c r="J3" s="431"/>
      <c r="K3" s="431"/>
      <c r="L3" s="431"/>
      <c r="M3" s="431"/>
      <c r="N3" s="431"/>
    </row>
    <row r="4" spans="1:17" ht="15" thickBot="1" x14ac:dyDescent="0.35">
      <c r="A4" s="1"/>
      <c r="B4" s="1"/>
      <c r="C4" s="1"/>
      <c r="D4" s="1"/>
      <c r="E4" s="108"/>
      <c r="F4" s="108"/>
      <c r="G4" s="108"/>
      <c r="H4" s="108"/>
      <c r="I4" s="108"/>
      <c r="J4" s="108"/>
      <c r="K4" s="108"/>
      <c r="L4" s="108"/>
      <c r="M4" s="108"/>
      <c r="N4" s="108"/>
    </row>
    <row r="5" spans="1:17" ht="15" thickBot="1" x14ac:dyDescent="0.35">
      <c r="A5" s="410" t="s">
        <v>104</v>
      </c>
      <c r="B5" s="411"/>
      <c r="C5" s="411"/>
      <c r="D5" s="411"/>
      <c r="E5" s="411"/>
      <c r="F5" s="411"/>
      <c r="G5" s="411"/>
      <c r="H5" s="411"/>
      <c r="I5" s="411"/>
      <c r="J5" s="411"/>
      <c r="K5" s="411"/>
      <c r="L5" s="411"/>
      <c r="M5" s="411"/>
      <c r="N5" s="412"/>
    </row>
    <row r="6" spans="1:17" ht="15" customHeight="1" x14ac:dyDescent="0.3">
      <c r="A6" s="432" t="s">
        <v>39</v>
      </c>
      <c r="B6" s="426" t="s">
        <v>40</v>
      </c>
      <c r="C6" s="434" t="s">
        <v>59</v>
      </c>
      <c r="D6" s="419" t="s">
        <v>42</v>
      </c>
      <c r="E6" s="428" t="s">
        <v>43</v>
      </c>
      <c r="F6" s="429"/>
      <c r="G6" s="429"/>
      <c r="H6" s="429"/>
      <c r="I6" s="429"/>
      <c r="J6" s="429"/>
      <c r="K6" s="429"/>
      <c r="L6" s="429"/>
      <c r="M6" s="429"/>
      <c r="N6" s="430"/>
    </row>
    <row r="7" spans="1:17" ht="63" customHeight="1" thickBot="1" x14ac:dyDescent="0.35">
      <c r="A7" s="433"/>
      <c r="B7" s="427"/>
      <c r="C7" s="435"/>
      <c r="D7" s="420"/>
      <c r="E7" s="86" t="s">
        <v>45</v>
      </c>
      <c r="F7" s="87" t="s">
        <v>46</v>
      </c>
      <c r="G7" s="87" t="s">
        <v>47</v>
      </c>
      <c r="H7" s="87" t="s">
        <v>48</v>
      </c>
      <c r="I7" s="87" t="s">
        <v>49</v>
      </c>
      <c r="J7" s="87" t="s">
        <v>50</v>
      </c>
      <c r="K7" s="195" t="s">
        <v>80</v>
      </c>
      <c r="L7" s="88" t="s">
        <v>51</v>
      </c>
      <c r="M7" s="87" t="s">
        <v>52</v>
      </c>
      <c r="N7" s="89" t="s">
        <v>53</v>
      </c>
    </row>
    <row r="8" spans="1:17" ht="24" customHeight="1" thickTop="1" x14ac:dyDescent="0.3">
      <c r="A8" s="109" t="s">
        <v>26</v>
      </c>
      <c r="B8" s="357">
        <v>759.39</v>
      </c>
      <c r="C8" s="358">
        <v>242439427</v>
      </c>
      <c r="D8" s="336">
        <f t="shared" ref="D8:D14" si="0">C8/B8/12</f>
        <v>26604.624215927699</v>
      </c>
      <c r="E8" s="359">
        <v>173002542</v>
      </c>
      <c r="F8" s="358">
        <v>38305171</v>
      </c>
      <c r="G8" s="358">
        <v>5783773</v>
      </c>
      <c r="H8" s="358">
        <v>17447390</v>
      </c>
      <c r="I8" s="358">
        <v>6708008</v>
      </c>
      <c r="J8" s="358">
        <v>241817</v>
      </c>
      <c r="K8" s="358">
        <v>18742</v>
      </c>
      <c r="L8" s="358">
        <v>858009</v>
      </c>
      <c r="M8" s="358">
        <v>29942</v>
      </c>
      <c r="N8" s="360">
        <v>44033</v>
      </c>
      <c r="P8" s="119"/>
      <c r="Q8" s="119"/>
    </row>
    <row r="9" spans="1:17" ht="24" customHeight="1" x14ac:dyDescent="0.3">
      <c r="A9" s="110" t="s">
        <v>84</v>
      </c>
      <c r="B9" s="361">
        <v>1750.229</v>
      </c>
      <c r="C9" s="358">
        <v>655485918</v>
      </c>
      <c r="D9" s="336">
        <f t="shared" si="0"/>
        <v>31209.531152780579</v>
      </c>
      <c r="E9" s="359">
        <v>444658196</v>
      </c>
      <c r="F9" s="358">
        <v>112740441</v>
      </c>
      <c r="G9" s="358">
        <v>15183315</v>
      </c>
      <c r="H9" s="358">
        <v>48966938</v>
      </c>
      <c r="I9" s="358">
        <v>12232055</v>
      </c>
      <c r="J9" s="358">
        <v>7288826</v>
      </c>
      <c r="K9" s="358">
        <v>949895</v>
      </c>
      <c r="L9" s="358">
        <v>13327057</v>
      </c>
      <c r="M9" s="358">
        <v>94748</v>
      </c>
      <c r="N9" s="360">
        <v>44447</v>
      </c>
      <c r="P9" s="119"/>
      <c r="Q9" s="119"/>
    </row>
    <row r="10" spans="1:17" ht="24" customHeight="1" x14ac:dyDescent="0.3">
      <c r="A10" s="110" t="s">
        <v>103</v>
      </c>
      <c r="B10" s="361">
        <v>137.875</v>
      </c>
      <c r="C10" s="358">
        <v>55378757</v>
      </c>
      <c r="D10" s="336">
        <f t="shared" si="0"/>
        <v>33471.596857056509</v>
      </c>
      <c r="E10" s="359">
        <v>32884633</v>
      </c>
      <c r="F10" s="358">
        <v>9221065</v>
      </c>
      <c r="G10" s="358">
        <v>1728863</v>
      </c>
      <c r="H10" s="358">
        <v>8281449</v>
      </c>
      <c r="I10" s="358">
        <v>1040677</v>
      </c>
      <c r="J10" s="358">
        <v>1663013</v>
      </c>
      <c r="K10" s="358">
        <v>47253</v>
      </c>
      <c r="L10" s="358">
        <v>493130</v>
      </c>
      <c r="M10" s="358">
        <v>0</v>
      </c>
      <c r="N10" s="360">
        <v>18674</v>
      </c>
      <c r="P10" s="119"/>
      <c r="Q10" s="119"/>
    </row>
    <row r="11" spans="1:17" ht="24" customHeight="1" x14ac:dyDescent="0.3">
      <c r="A11" s="110" t="s">
        <v>27</v>
      </c>
      <c r="B11" s="361">
        <v>238.84299999999999</v>
      </c>
      <c r="C11" s="358">
        <v>72577012</v>
      </c>
      <c r="D11" s="336">
        <f t="shared" si="0"/>
        <v>25322.426587060676</v>
      </c>
      <c r="E11" s="359">
        <v>52873181</v>
      </c>
      <c r="F11" s="358">
        <v>12378233</v>
      </c>
      <c r="G11" s="358">
        <v>819755</v>
      </c>
      <c r="H11" s="358">
        <v>5054108</v>
      </c>
      <c r="I11" s="358">
        <v>791703</v>
      </c>
      <c r="J11" s="358">
        <v>63510</v>
      </c>
      <c r="K11" s="358">
        <v>9693</v>
      </c>
      <c r="L11" s="358">
        <v>276255</v>
      </c>
      <c r="M11" s="358">
        <v>18735</v>
      </c>
      <c r="N11" s="360">
        <v>291839</v>
      </c>
      <c r="P11" s="119"/>
      <c r="Q11" s="119"/>
    </row>
    <row r="12" spans="1:17" ht="24" customHeight="1" x14ac:dyDescent="0.3">
      <c r="A12" s="111" t="s">
        <v>28</v>
      </c>
      <c r="B12" s="362">
        <v>0</v>
      </c>
      <c r="C12" s="358">
        <f t="shared" ref="C12" si="1">SUM(E12:N12)</f>
        <v>0</v>
      </c>
      <c r="D12" s="336">
        <v>0</v>
      </c>
      <c r="E12" s="363">
        <v>0</v>
      </c>
      <c r="F12" s="358">
        <v>0</v>
      </c>
      <c r="G12" s="358">
        <v>0</v>
      </c>
      <c r="H12" s="358">
        <v>0</v>
      </c>
      <c r="I12" s="358">
        <v>0</v>
      </c>
      <c r="J12" s="358">
        <v>0</v>
      </c>
      <c r="K12" s="358">
        <v>0</v>
      </c>
      <c r="L12" s="358">
        <v>0</v>
      </c>
      <c r="M12" s="358">
        <v>0</v>
      </c>
      <c r="N12" s="360">
        <v>0</v>
      </c>
      <c r="P12" s="119"/>
      <c r="Q12" s="119"/>
    </row>
    <row r="13" spans="1:17" ht="24" customHeight="1" thickBot="1" x14ac:dyDescent="0.35">
      <c r="A13" s="112" t="s">
        <v>54</v>
      </c>
      <c r="B13" s="337">
        <v>310.75799999999998</v>
      </c>
      <c r="C13" s="364">
        <v>119075450</v>
      </c>
      <c r="D13" s="365">
        <f t="shared" si="0"/>
        <v>31931.452019470671</v>
      </c>
      <c r="E13" s="366">
        <v>81164237</v>
      </c>
      <c r="F13" s="367">
        <v>20621263</v>
      </c>
      <c r="G13" s="367">
        <v>3543946</v>
      </c>
      <c r="H13" s="367">
        <v>7685552</v>
      </c>
      <c r="I13" s="367">
        <v>3148528</v>
      </c>
      <c r="J13" s="367">
        <v>33186</v>
      </c>
      <c r="K13" s="367">
        <v>9640</v>
      </c>
      <c r="L13" s="367">
        <v>2494914</v>
      </c>
      <c r="M13" s="367">
        <v>77259</v>
      </c>
      <c r="N13" s="368">
        <v>296925</v>
      </c>
      <c r="P13" s="119"/>
      <c r="Q13" s="119"/>
    </row>
    <row r="14" spans="1:17" ht="24" customHeight="1" thickTop="1" thickBot="1" x14ac:dyDescent="0.35">
      <c r="A14" s="94" t="s">
        <v>55</v>
      </c>
      <c r="B14" s="104">
        <f>SUM(B8:B13)</f>
        <v>3197.0949999999998</v>
      </c>
      <c r="C14" s="105">
        <f>SUM(C8:C13)</f>
        <v>1144956564</v>
      </c>
      <c r="D14" s="99">
        <f t="shared" si="0"/>
        <v>29843.669643848556</v>
      </c>
      <c r="E14" s="98">
        <f>SUM(E8:E13)</f>
        <v>784582789</v>
      </c>
      <c r="F14" s="99">
        <f t="shared" ref="F14:N14" si="2">SUM(F8:F13)</f>
        <v>193266173</v>
      </c>
      <c r="G14" s="99">
        <f t="shared" si="2"/>
        <v>27059652</v>
      </c>
      <c r="H14" s="99">
        <f t="shared" si="2"/>
        <v>87435437</v>
      </c>
      <c r="I14" s="105">
        <f t="shared" si="2"/>
        <v>23920971</v>
      </c>
      <c r="J14" s="99">
        <f t="shared" si="2"/>
        <v>9290352</v>
      </c>
      <c r="K14" s="99">
        <f t="shared" si="2"/>
        <v>1035223</v>
      </c>
      <c r="L14" s="99">
        <f t="shared" si="2"/>
        <v>17449365</v>
      </c>
      <c r="M14" s="105">
        <f t="shared" si="2"/>
        <v>220684</v>
      </c>
      <c r="N14" s="100">
        <f t="shared" si="2"/>
        <v>695918</v>
      </c>
      <c r="Q14" s="119"/>
    </row>
    <row r="15" spans="1:17" x14ac:dyDescent="0.3">
      <c r="Q15" s="119"/>
    </row>
    <row r="16" spans="1:17" x14ac:dyDescent="0.3">
      <c r="E16" s="84"/>
      <c r="F16" s="119"/>
      <c r="G16" s="119"/>
      <c r="H16" s="119"/>
      <c r="I16" s="119"/>
      <c r="J16" s="119"/>
      <c r="K16" s="119"/>
      <c r="L16" s="119"/>
      <c r="M16" s="119"/>
      <c r="N16" s="119"/>
    </row>
    <row r="17" spans="7:7" x14ac:dyDescent="0.3">
      <c r="G17" t="s">
        <v>1</v>
      </c>
    </row>
  </sheetData>
  <mergeCells count="7">
    <mergeCell ref="A3:N3"/>
    <mergeCell ref="A5:N5"/>
    <mergeCell ref="A6:A7"/>
    <mergeCell ref="B6:B7"/>
    <mergeCell ref="C6:C7"/>
    <mergeCell ref="D6:D7"/>
    <mergeCell ref="E6:N6"/>
  </mergeCells>
  <pageMargins left="0.28999999999999998" right="0.3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16</vt:i4>
      </vt:variant>
    </vt:vector>
  </HeadingPairs>
  <TitlesOfParts>
    <vt:vector size="16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</vt:vector>
  </TitlesOfParts>
  <Company>Karlovarský kraj Krajský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dagmar.rochova</dc:creator>
  <cp:lastModifiedBy>Trantinová Jana</cp:lastModifiedBy>
  <cp:lastPrinted>2019-01-14T15:57:04Z</cp:lastPrinted>
  <dcterms:created xsi:type="dcterms:W3CDTF">2014-09-15T11:14:01Z</dcterms:created>
  <dcterms:modified xsi:type="dcterms:W3CDTF">2019-01-15T10:49:13Z</dcterms:modified>
</cp:coreProperties>
</file>