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0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</sheets>
  <calcPr calcId="162913"/>
</workbook>
</file>

<file path=xl/calcChain.xml><?xml version="1.0" encoding="utf-8"?>
<calcChain xmlns="http://schemas.openxmlformats.org/spreadsheetml/2006/main">
  <c r="J10" i="16" l="1"/>
  <c r="I10" i="16"/>
  <c r="H10" i="16"/>
  <c r="I17" i="16"/>
  <c r="H17" i="16"/>
  <c r="J50" i="16"/>
  <c r="G7" i="1" l="1"/>
  <c r="L14" i="3" l="1"/>
  <c r="M14" i="3"/>
  <c r="K14" i="3"/>
  <c r="J14" i="3"/>
  <c r="N14" i="3" l="1"/>
  <c r="I14" i="3"/>
  <c r="G15" i="1" l="1"/>
  <c r="E15" i="1"/>
  <c r="J11" i="2" l="1"/>
  <c r="I11" i="2"/>
  <c r="H11" i="2"/>
  <c r="G11" i="2"/>
  <c r="J10" i="2"/>
  <c r="I10" i="2"/>
  <c r="H10" i="2"/>
  <c r="G10" i="2"/>
  <c r="J9" i="2"/>
  <c r="I9" i="2"/>
  <c r="H9" i="2"/>
  <c r="G9" i="2"/>
  <c r="J8" i="2"/>
  <c r="I8" i="2"/>
  <c r="H8" i="2"/>
  <c r="G8" i="2"/>
  <c r="J7" i="2"/>
  <c r="I7" i="2"/>
  <c r="H7" i="2"/>
  <c r="G7" i="2"/>
  <c r="F12" i="2" l="1"/>
  <c r="E12" i="2"/>
  <c r="D12" i="2"/>
  <c r="C12" i="2"/>
  <c r="B12" i="2"/>
  <c r="F11" i="2"/>
  <c r="E11" i="2"/>
  <c r="D11" i="2"/>
  <c r="C11" i="2"/>
  <c r="B11" i="2"/>
  <c r="F10" i="2"/>
  <c r="E10" i="2"/>
  <c r="D10" i="2"/>
  <c r="C10" i="2"/>
  <c r="B10" i="2"/>
  <c r="F9" i="2"/>
  <c r="E9" i="2"/>
  <c r="D9" i="2"/>
  <c r="C9" i="2"/>
  <c r="B9" i="2"/>
  <c r="F8" i="2"/>
  <c r="E8" i="2"/>
  <c r="D8" i="2"/>
  <c r="C8" i="2"/>
  <c r="B8" i="2"/>
  <c r="F7" i="2"/>
  <c r="E7" i="2"/>
  <c r="D7" i="2"/>
  <c r="C7" i="2"/>
  <c r="B7" i="2"/>
  <c r="M8" i="1"/>
  <c r="K8" i="2" s="1"/>
  <c r="M9" i="1"/>
  <c r="M10" i="1"/>
  <c r="K10" i="2" s="1"/>
  <c r="M11" i="1"/>
  <c r="K11" i="2" s="1"/>
  <c r="M12" i="1"/>
  <c r="M13" i="1"/>
  <c r="M14" i="1"/>
  <c r="M7" i="1"/>
  <c r="K7" i="2" s="1"/>
  <c r="I15" i="1"/>
  <c r="J15" i="1"/>
  <c r="K15" i="1"/>
  <c r="L15" i="1"/>
  <c r="H15" i="1"/>
  <c r="M15" i="1" l="1"/>
  <c r="K9" i="2"/>
  <c r="G14" i="1"/>
  <c r="G13" i="1"/>
  <c r="G12" i="1"/>
  <c r="G11" i="1"/>
  <c r="G10" i="1"/>
  <c r="G9" i="1"/>
  <c r="G8" i="1"/>
  <c r="F15" i="1"/>
  <c r="D15" i="1"/>
  <c r="C15" i="1"/>
  <c r="B15" i="1"/>
  <c r="C12" i="6"/>
  <c r="E12" i="6"/>
  <c r="E11" i="6"/>
  <c r="E10" i="6"/>
  <c r="E9" i="6"/>
  <c r="E8" i="6"/>
  <c r="E7" i="6"/>
  <c r="C11" i="6"/>
  <c r="C10" i="6"/>
  <c r="C9" i="6"/>
  <c r="C8" i="6"/>
  <c r="C7" i="6"/>
  <c r="G12" i="5" l="1"/>
  <c r="G8" i="5"/>
  <c r="G7" i="5"/>
  <c r="B12" i="5"/>
  <c r="C12" i="5"/>
  <c r="F15" i="7" l="1"/>
  <c r="G15" i="7"/>
  <c r="H15" i="7"/>
  <c r="I15" i="7"/>
  <c r="J15" i="7"/>
  <c r="K15" i="7"/>
  <c r="L15" i="7"/>
  <c r="M15" i="7"/>
  <c r="N15" i="7"/>
  <c r="O15" i="7"/>
  <c r="E15" i="7"/>
  <c r="C15" i="7"/>
  <c r="O14" i="7"/>
  <c r="N14" i="7"/>
  <c r="M14" i="7"/>
  <c r="L14" i="7"/>
  <c r="K14" i="7"/>
  <c r="J14" i="7"/>
  <c r="I14" i="7"/>
  <c r="H14" i="7"/>
  <c r="G14" i="7"/>
  <c r="F14" i="7"/>
  <c r="E14" i="7"/>
  <c r="N13" i="7"/>
  <c r="M13" i="7"/>
  <c r="J13" i="7"/>
  <c r="I13" i="7"/>
  <c r="H13" i="7"/>
  <c r="G13" i="7"/>
  <c r="F13" i="7"/>
  <c r="E13" i="7"/>
  <c r="O12" i="7"/>
  <c r="N12" i="7"/>
  <c r="M12" i="7"/>
  <c r="L12" i="7"/>
  <c r="K12" i="7"/>
  <c r="J12" i="7"/>
  <c r="I12" i="7"/>
  <c r="H12" i="7"/>
  <c r="G12" i="7"/>
  <c r="F12" i="7"/>
  <c r="E12" i="7"/>
  <c r="B12" i="7"/>
  <c r="B15" i="7" s="1"/>
  <c r="O11" i="7"/>
  <c r="N11" i="7"/>
  <c r="M11" i="7"/>
  <c r="L11" i="7"/>
  <c r="K11" i="7"/>
  <c r="J11" i="7"/>
  <c r="I11" i="7"/>
  <c r="H11" i="7"/>
  <c r="G11" i="7"/>
  <c r="F11" i="7"/>
  <c r="E11" i="7"/>
  <c r="F10" i="7"/>
  <c r="O10" i="7"/>
  <c r="N10" i="7"/>
  <c r="M10" i="7"/>
  <c r="L10" i="7"/>
  <c r="K10" i="7"/>
  <c r="J10" i="7"/>
  <c r="I10" i="7"/>
  <c r="H10" i="7"/>
  <c r="G10" i="7"/>
  <c r="E10" i="7"/>
  <c r="O9" i="7"/>
  <c r="N9" i="7"/>
  <c r="M9" i="7"/>
  <c r="L9" i="7"/>
  <c r="K9" i="7"/>
  <c r="J9" i="7"/>
  <c r="I9" i="7"/>
  <c r="H9" i="7"/>
  <c r="G9" i="7"/>
  <c r="F9" i="7"/>
  <c r="E9" i="7"/>
  <c r="B14" i="7"/>
  <c r="B13" i="7"/>
  <c r="B11" i="7"/>
  <c r="B10" i="7"/>
  <c r="B9" i="7"/>
  <c r="G17" i="8"/>
  <c r="H17" i="8"/>
  <c r="I17" i="8"/>
  <c r="J17" i="8"/>
  <c r="K17" i="8"/>
  <c r="L17" i="8"/>
  <c r="M17" i="8"/>
  <c r="N17" i="8"/>
  <c r="O17" i="8"/>
  <c r="F17" i="8"/>
  <c r="E17" i="8"/>
  <c r="N16" i="8"/>
  <c r="M16" i="8"/>
  <c r="L16" i="8"/>
  <c r="K16" i="8"/>
  <c r="J16" i="8"/>
  <c r="I16" i="8"/>
  <c r="H16" i="8"/>
  <c r="G16" i="8"/>
  <c r="F16" i="8"/>
  <c r="E16" i="8"/>
  <c r="N15" i="8"/>
  <c r="M15" i="8"/>
  <c r="L15" i="8"/>
  <c r="K15" i="8"/>
  <c r="J15" i="8"/>
  <c r="I15" i="8"/>
  <c r="H15" i="8"/>
  <c r="G15" i="8"/>
  <c r="F15" i="8"/>
  <c r="E15" i="8"/>
  <c r="N14" i="8"/>
  <c r="M14" i="8"/>
  <c r="L14" i="8"/>
  <c r="K14" i="8"/>
  <c r="J14" i="8"/>
  <c r="I14" i="8"/>
  <c r="H14" i="8"/>
  <c r="G14" i="8"/>
  <c r="F14" i="8"/>
  <c r="E14" i="8"/>
  <c r="N13" i="8"/>
  <c r="M13" i="8"/>
  <c r="L13" i="8"/>
  <c r="K13" i="8"/>
  <c r="J13" i="8"/>
  <c r="I13" i="8"/>
  <c r="H13" i="8"/>
  <c r="G13" i="8"/>
  <c r="F13" i="8"/>
  <c r="E13" i="8"/>
  <c r="O13" i="8"/>
  <c r="N12" i="8"/>
  <c r="M12" i="8"/>
  <c r="J12" i="8"/>
  <c r="I12" i="8"/>
  <c r="H12" i="8"/>
  <c r="G12" i="8"/>
  <c r="F12" i="8"/>
  <c r="E12" i="8"/>
  <c r="N11" i="8"/>
  <c r="M11" i="8"/>
  <c r="L11" i="8"/>
  <c r="K11" i="8"/>
  <c r="J11" i="8"/>
  <c r="I11" i="8"/>
  <c r="H11" i="8"/>
  <c r="G11" i="8"/>
  <c r="F11" i="8"/>
  <c r="E11" i="8"/>
  <c r="O10" i="8"/>
  <c r="N10" i="8"/>
  <c r="M10" i="8"/>
  <c r="L10" i="8"/>
  <c r="K10" i="8"/>
  <c r="J10" i="8"/>
  <c r="I10" i="8"/>
  <c r="H10" i="8"/>
  <c r="G10" i="8"/>
  <c r="F10" i="8"/>
  <c r="E10" i="8"/>
  <c r="O9" i="8"/>
  <c r="N9" i="8"/>
  <c r="M9" i="8"/>
  <c r="L9" i="8"/>
  <c r="K9" i="8"/>
  <c r="J9" i="8"/>
  <c r="I9" i="8"/>
  <c r="H9" i="8"/>
  <c r="G9" i="8"/>
  <c r="F9" i="8"/>
  <c r="E9" i="8"/>
  <c r="O8" i="8"/>
  <c r="N8" i="8"/>
  <c r="M8" i="8"/>
  <c r="L8" i="8"/>
  <c r="K8" i="8" l="1"/>
  <c r="J8" i="8"/>
  <c r="I8" i="8"/>
  <c r="H8" i="8"/>
  <c r="G8" i="8"/>
  <c r="F8" i="8"/>
  <c r="E8" i="8"/>
  <c r="B16" i="8"/>
  <c r="B17" i="8" s="1"/>
  <c r="B15" i="8"/>
  <c r="B14" i="8"/>
  <c r="B13" i="8"/>
  <c r="B12" i="8"/>
  <c r="B11" i="8"/>
  <c r="B10" i="8"/>
  <c r="B9" i="8"/>
  <c r="B8" i="8"/>
  <c r="F14" i="11"/>
  <c r="G14" i="11"/>
  <c r="H14" i="11"/>
  <c r="I14" i="11"/>
  <c r="J14" i="11"/>
  <c r="K14" i="11"/>
  <c r="L14" i="11"/>
  <c r="E14" i="11"/>
  <c r="C14" i="11"/>
  <c r="B14" i="11"/>
  <c r="C14" i="9"/>
  <c r="F14" i="9"/>
  <c r="G14" i="9"/>
  <c r="H14" i="9"/>
  <c r="I14" i="9"/>
  <c r="J14" i="9"/>
  <c r="K14" i="9"/>
  <c r="L14" i="9"/>
  <c r="M14" i="9"/>
  <c r="N14" i="9"/>
  <c r="E14" i="9"/>
  <c r="B14" i="9"/>
  <c r="C17" i="12" l="1"/>
  <c r="B17" i="12"/>
  <c r="F17" i="10"/>
  <c r="G17" i="10"/>
  <c r="H17" i="10"/>
  <c r="I17" i="10"/>
  <c r="J17" i="10"/>
  <c r="K17" i="10"/>
  <c r="L17" i="10"/>
  <c r="M17" i="10"/>
  <c r="N17" i="10"/>
  <c r="E17" i="10"/>
  <c r="C17" i="10"/>
  <c r="B17" i="10"/>
  <c r="F10" i="12" l="1"/>
  <c r="J14" i="13"/>
  <c r="I14" i="13"/>
  <c r="H14" i="13"/>
  <c r="J13" i="13"/>
  <c r="I13" i="13"/>
  <c r="H13" i="13"/>
  <c r="J12" i="13"/>
  <c r="I12" i="13"/>
  <c r="H12" i="13"/>
  <c r="J11" i="13"/>
  <c r="I11" i="13"/>
  <c r="H11" i="13"/>
  <c r="J10" i="13"/>
  <c r="I10" i="13"/>
  <c r="H10" i="13"/>
  <c r="J9" i="13"/>
  <c r="I9" i="13"/>
  <c r="H9" i="13"/>
  <c r="J8" i="13"/>
  <c r="I8" i="13"/>
  <c r="H8" i="13"/>
  <c r="J37" i="14"/>
  <c r="I37" i="14"/>
  <c r="H37" i="14"/>
  <c r="J29" i="14"/>
  <c r="J30" i="14"/>
  <c r="J31" i="14"/>
  <c r="J32" i="14"/>
  <c r="J33" i="14"/>
  <c r="J34" i="14"/>
  <c r="I34" i="14"/>
  <c r="H34" i="14"/>
  <c r="J28" i="14"/>
  <c r="J23" i="14"/>
  <c r="I23" i="14"/>
  <c r="H23" i="14"/>
  <c r="J18" i="14"/>
  <c r="J19" i="14"/>
  <c r="J20" i="14"/>
  <c r="J21" i="14"/>
  <c r="J22" i="14"/>
  <c r="J17" i="14"/>
  <c r="J12" i="14" l="1"/>
  <c r="J7" i="14"/>
  <c r="J8" i="14"/>
  <c r="J9" i="14"/>
  <c r="J10" i="14"/>
  <c r="J11" i="14"/>
  <c r="J6" i="14"/>
  <c r="I12" i="14"/>
  <c r="H12" i="14"/>
  <c r="I21" i="15"/>
  <c r="B21" i="15"/>
  <c r="J9" i="15"/>
  <c r="J11" i="15"/>
  <c r="J12" i="15"/>
  <c r="J13" i="15"/>
  <c r="J15" i="15"/>
  <c r="J16" i="15"/>
  <c r="J17" i="15"/>
  <c r="J8" i="15"/>
  <c r="I17" i="15"/>
  <c r="I16" i="15"/>
  <c r="I15" i="15"/>
  <c r="I13" i="15"/>
  <c r="I12" i="15"/>
  <c r="I10" i="15"/>
  <c r="I9" i="15"/>
  <c r="I8" i="15"/>
  <c r="H17" i="15"/>
  <c r="H16" i="15"/>
  <c r="H15" i="15"/>
  <c r="H13" i="15"/>
  <c r="H10" i="15"/>
  <c r="J10" i="15" s="1"/>
  <c r="H9" i="15"/>
  <c r="H8" i="15"/>
  <c r="H21" i="15" l="1"/>
  <c r="J21" i="15" s="1"/>
  <c r="B50" i="16"/>
  <c r="J38" i="16"/>
  <c r="J39" i="16"/>
  <c r="J40" i="16"/>
  <c r="J42" i="16"/>
  <c r="J45" i="16"/>
  <c r="J46" i="16"/>
  <c r="J47" i="16"/>
  <c r="I47" i="16"/>
  <c r="H47" i="16"/>
  <c r="J32" i="16"/>
  <c r="I32" i="16"/>
  <c r="J31" i="16"/>
  <c r="J27" i="16"/>
  <c r="J23" i="16"/>
  <c r="G23" i="16"/>
  <c r="H32" i="16"/>
  <c r="J7" i="16" l="1"/>
  <c r="G7" i="16"/>
  <c r="J8" i="16"/>
  <c r="J9" i="16"/>
  <c r="J11" i="16"/>
  <c r="J12" i="16"/>
  <c r="J14" i="16"/>
  <c r="J15" i="16"/>
  <c r="J16" i="16"/>
  <c r="D7" i="16" l="1"/>
  <c r="D8" i="16"/>
  <c r="G8" i="16"/>
  <c r="D9" i="16"/>
  <c r="G9" i="16"/>
  <c r="D10" i="16"/>
  <c r="G10" i="16"/>
  <c r="D11" i="16"/>
  <c r="G11" i="16"/>
  <c r="D12" i="16"/>
  <c r="G12" i="16"/>
  <c r="D13" i="16"/>
  <c r="G13" i="16"/>
  <c r="J17" i="16" l="1"/>
  <c r="F8" i="4"/>
  <c r="F9" i="4"/>
  <c r="F10" i="4"/>
  <c r="F11" i="4"/>
  <c r="F12" i="4"/>
  <c r="F13" i="4"/>
  <c r="F7" i="4"/>
  <c r="E8" i="4"/>
  <c r="E9" i="4"/>
  <c r="E10" i="4"/>
  <c r="E11" i="4"/>
  <c r="E13" i="4"/>
  <c r="E7" i="4"/>
  <c r="D8" i="4"/>
  <c r="D9" i="4"/>
  <c r="D10" i="4"/>
  <c r="D11" i="4"/>
  <c r="D12" i="4"/>
  <c r="D13" i="4"/>
  <c r="D7" i="4"/>
  <c r="C8" i="4"/>
  <c r="C9" i="4"/>
  <c r="C10" i="4"/>
  <c r="C11" i="4"/>
  <c r="C12" i="4"/>
  <c r="C13" i="4"/>
  <c r="C7" i="4"/>
  <c r="B8" i="4"/>
  <c r="B9" i="4"/>
  <c r="B10" i="4"/>
  <c r="B11" i="4"/>
  <c r="B12" i="4"/>
  <c r="B13" i="4"/>
  <c r="B7" i="4"/>
  <c r="D14" i="3"/>
  <c r="E14" i="3"/>
  <c r="F14" i="3"/>
  <c r="C14" i="3"/>
  <c r="G13" i="3"/>
  <c r="G12" i="3"/>
  <c r="E12" i="3"/>
  <c r="E12" i="4" s="1"/>
  <c r="G11" i="3"/>
  <c r="G10" i="3"/>
  <c r="G9" i="3"/>
  <c r="G8" i="3"/>
  <c r="E8" i="3"/>
  <c r="E7" i="3"/>
  <c r="G7" i="3" s="1"/>
  <c r="G11" i="4" l="1"/>
  <c r="G14" i="3"/>
  <c r="H13" i="3" s="1"/>
  <c r="G7" i="4"/>
  <c r="G9" i="4"/>
  <c r="G10" i="4"/>
  <c r="G13" i="4"/>
  <c r="G8" i="4"/>
  <c r="G12" i="4"/>
  <c r="F8" i="5"/>
  <c r="F9" i="5"/>
  <c r="F10" i="5"/>
  <c r="F11" i="5"/>
  <c r="B14" i="3"/>
  <c r="D11" i="6"/>
  <c r="D10" i="6"/>
  <c r="D9" i="6"/>
  <c r="D8" i="6"/>
  <c r="D7" i="6"/>
  <c r="D12" i="6" s="1"/>
  <c r="G9" i="5"/>
  <c r="G10" i="5"/>
  <c r="G11" i="5"/>
  <c r="F7" i="5"/>
  <c r="E12" i="5"/>
  <c r="D12" i="5"/>
  <c r="F12" i="5" s="1"/>
  <c r="H12" i="3" l="1"/>
  <c r="H11" i="3"/>
  <c r="H10" i="3"/>
  <c r="H7" i="3"/>
  <c r="H9" i="3"/>
  <c r="H8" i="3"/>
  <c r="D8" i="9"/>
  <c r="H14" i="3" l="1"/>
  <c r="G29" i="14"/>
  <c r="G30" i="14"/>
  <c r="G31" i="14"/>
  <c r="G32" i="14"/>
  <c r="G33" i="14"/>
  <c r="G28" i="14"/>
  <c r="F34" i="14"/>
  <c r="G34" i="14" s="1"/>
  <c r="E34" i="14"/>
  <c r="G20" i="14"/>
  <c r="G21" i="14"/>
  <c r="G22" i="14"/>
  <c r="G19" i="14"/>
  <c r="G18" i="14"/>
  <c r="G17" i="14"/>
  <c r="F23" i="14"/>
  <c r="E23" i="14"/>
  <c r="G23" i="14" s="1"/>
  <c r="G9" i="14"/>
  <c r="G10" i="14"/>
  <c r="G11" i="14"/>
  <c r="G8" i="14"/>
  <c r="G7" i="14"/>
  <c r="G6" i="14"/>
  <c r="F12" i="14"/>
  <c r="E12" i="14"/>
  <c r="E37" i="14" s="1"/>
  <c r="F32" i="16"/>
  <c r="E32" i="16"/>
  <c r="G31" i="16"/>
  <c r="G27" i="16"/>
  <c r="G14" i="16"/>
  <c r="G15" i="16"/>
  <c r="G16" i="16"/>
  <c r="F17" i="16"/>
  <c r="E17" i="16"/>
  <c r="F37" i="14" l="1"/>
  <c r="G37" i="14" s="1"/>
  <c r="G12" i="14"/>
  <c r="G32" i="16"/>
  <c r="G17" i="16"/>
  <c r="F47" i="16"/>
  <c r="F50" i="16" s="1"/>
  <c r="E47" i="16"/>
  <c r="E50" i="16" s="1"/>
  <c r="G39" i="16"/>
  <c r="G40" i="16"/>
  <c r="G42" i="16"/>
  <c r="G45" i="16"/>
  <c r="G46" i="16"/>
  <c r="G38" i="16"/>
  <c r="G50" i="16" l="1"/>
  <c r="G47" i="16"/>
  <c r="G21" i="15"/>
  <c r="F21" i="15"/>
  <c r="E21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8" i="15"/>
  <c r="G14" i="13"/>
  <c r="G9" i="13"/>
  <c r="G10" i="13"/>
  <c r="G11" i="13"/>
  <c r="G12" i="13"/>
  <c r="G13" i="13"/>
  <c r="G8" i="13"/>
  <c r="F14" i="13"/>
  <c r="E14" i="13"/>
  <c r="D14" i="12" l="1"/>
  <c r="D15" i="10"/>
  <c r="D14" i="10"/>
  <c r="D15" i="8" l="1"/>
  <c r="D14" i="8"/>
  <c r="C11" i="12" l="1"/>
  <c r="D8" i="12"/>
  <c r="D33" i="14" l="1"/>
  <c r="D32" i="14"/>
  <c r="D31" i="14"/>
  <c r="D30" i="14"/>
  <c r="D29" i="14"/>
  <c r="D28" i="14"/>
  <c r="D22" i="14"/>
  <c r="D21" i="14"/>
  <c r="D20" i="14"/>
  <c r="D19" i="14"/>
  <c r="D18" i="14"/>
  <c r="D17" i="14"/>
  <c r="D11" i="14"/>
  <c r="D10" i="14"/>
  <c r="D9" i="14"/>
  <c r="D8" i="14"/>
  <c r="D7" i="14"/>
  <c r="D6" i="14"/>
  <c r="B32" i="16"/>
  <c r="B17" i="16"/>
  <c r="D46" i="16"/>
  <c r="D45" i="16"/>
  <c r="D42" i="16"/>
  <c r="D40" i="16"/>
  <c r="D39" i="16"/>
  <c r="D38" i="16"/>
  <c r="D31" i="16"/>
  <c r="D27" i="16"/>
  <c r="D23" i="16"/>
  <c r="D16" i="16"/>
  <c r="D15" i="16"/>
  <c r="D14" i="16"/>
  <c r="D8" i="10" l="1"/>
  <c r="D16" i="12"/>
  <c r="D15" i="12"/>
  <c r="D12" i="12"/>
  <c r="D10" i="12"/>
  <c r="D9" i="12"/>
  <c r="C34" i="14" l="1"/>
  <c r="B34" i="14"/>
  <c r="C23" i="14"/>
  <c r="B23" i="14"/>
  <c r="C12" i="14"/>
  <c r="B12" i="14"/>
  <c r="C47" i="16"/>
  <c r="B47" i="16"/>
  <c r="C32" i="16"/>
  <c r="D32" i="16" s="1"/>
  <c r="D13" i="11"/>
  <c r="B37" i="14" l="1"/>
  <c r="D23" i="14"/>
  <c r="D34" i="14"/>
  <c r="D47" i="16"/>
  <c r="C37" i="14"/>
  <c r="D12" i="14"/>
  <c r="D37" i="14" l="1"/>
  <c r="F8" i="6" l="1"/>
  <c r="F9" i="6"/>
  <c r="F10" i="6"/>
  <c r="F11" i="6"/>
  <c r="F7" i="6"/>
  <c r="G9" i="6" l="1"/>
  <c r="B12" i="6"/>
  <c r="G8" i="6"/>
  <c r="G11" i="6"/>
  <c r="G10" i="6"/>
  <c r="N7" i="3"/>
  <c r="F12" i="6" l="1"/>
  <c r="D14" i="11" l="1"/>
  <c r="C17" i="16" l="1"/>
  <c r="C50" i="16" s="1"/>
  <c r="D50" i="16" l="1"/>
  <c r="B9" i="15" l="1"/>
  <c r="C9" i="15"/>
  <c r="B10" i="15"/>
  <c r="C10" i="15"/>
  <c r="B11" i="15"/>
  <c r="C11" i="15"/>
  <c r="B12" i="15"/>
  <c r="C12" i="15"/>
  <c r="B13" i="15"/>
  <c r="C13" i="15"/>
  <c r="B14" i="15"/>
  <c r="C14" i="15"/>
  <c r="B15" i="15"/>
  <c r="C15" i="15"/>
  <c r="B16" i="15"/>
  <c r="C16" i="15"/>
  <c r="B17" i="15"/>
  <c r="C17" i="15"/>
  <c r="C8" i="15"/>
  <c r="B8" i="15"/>
  <c r="C13" i="13"/>
  <c r="B13" i="13"/>
  <c r="C12" i="13"/>
  <c r="B12" i="13"/>
  <c r="C11" i="13"/>
  <c r="B11" i="13"/>
  <c r="C10" i="13"/>
  <c r="B10" i="13"/>
  <c r="C9" i="13"/>
  <c r="B9" i="13"/>
  <c r="C8" i="13"/>
  <c r="B8" i="13"/>
  <c r="H7" i="4"/>
  <c r="F17" i="12"/>
  <c r="E17" i="12"/>
  <c r="L17" i="12"/>
  <c r="K17" i="12"/>
  <c r="J17" i="12"/>
  <c r="I17" i="12"/>
  <c r="H17" i="12"/>
  <c r="G17" i="12"/>
  <c r="D10" i="10"/>
  <c r="D11" i="10"/>
  <c r="C12" i="10"/>
  <c r="D13" i="10"/>
  <c r="D16" i="10"/>
  <c r="D12" i="11"/>
  <c r="D11" i="11"/>
  <c r="D10" i="11"/>
  <c r="D9" i="11"/>
  <c r="D10" i="9"/>
  <c r="D13" i="9"/>
  <c r="D11" i="9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I13" i="4"/>
  <c r="I12" i="4"/>
  <c r="I11" i="4"/>
  <c r="I10" i="4"/>
  <c r="I9" i="4"/>
  <c r="J8" i="4"/>
  <c r="K8" i="4"/>
  <c r="L8" i="4"/>
  <c r="I8" i="4"/>
  <c r="J7" i="4"/>
  <c r="K7" i="4"/>
  <c r="L7" i="4"/>
  <c r="I7" i="4"/>
  <c r="H8" i="4"/>
  <c r="H9" i="4"/>
  <c r="H10" i="4"/>
  <c r="H11" i="4"/>
  <c r="H12" i="4"/>
  <c r="H13" i="4"/>
  <c r="N13" i="3"/>
  <c r="N12" i="3"/>
  <c r="N11" i="3"/>
  <c r="N10" i="3"/>
  <c r="N9" i="3"/>
  <c r="N8" i="3"/>
  <c r="M13" i="4" l="1"/>
  <c r="D10" i="13"/>
  <c r="D14" i="9"/>
  <c r="D10" i="8"/>
  <c r="D12" i="8"/>
  <c r="D9" i="10"/>
  <c r="D17" i="10"/>
  <c r="D9" i="9"/>
  <c r="D15" i="15"/>
  <c r="D17" i="15"/>
  <c r="D13" i="15"/>
  <c r="D11" i="15"/>
  <c r="D9" i="15"/>
  <c r="C21" i="15"/>
  <c r="D16" i="15"/>
  <c r="D14" i="15"/>
  <c r="D12" i="15"/>
  <c r="D10" i="15"/>
  <c r="C14" i="13"/>
  <c r="D12" i="13"/>
  <c r="D9" i="13"/>
  <c r="D11" i="13"/>
  <c r="D13" i="13"/>
  <c r="D13" i="8"/>
  <c r="D8" i="8"/>
  <c r="D9" i="8"/>
  <c r="D11" i="8"/>
  <c r="D14" i="7"/>
  <c r="D12" i="7"/>
  <c r="M11" i="4"/>
  <c r="B14" i="13"/>
  <c r="D8" i="15"/>
  <c r="M9" i="4"/>
  <c r="D16" i="8"/>
  <c r="M12" i="4"/>
  <c r="M10" i="4"/>
  <c r="M7" i="4"/>
  <c r="D17" i="12"/>
  <c r="O7" i="3"/>
  <c r="D11" i="7"/>
  <c r="D13" i="7"/>
  <c r="D8" i="13"/>
  <c r="M8" i="4"/>
  <c r="D17" i="16"/>
  <c r="D8" i="11"/>
  <c r="D10" i="7"/>
  <c r="C17" i="8" l="1"/>
  <c r="D17" i="8" s="1"/>
  <c r="D15" i="7"/>
  <c r="D14" i="13"/>
  <c r="D21" i="15"/>
  <c r="O8" i="3"/>
  <c r="O14" i="3" s="1"/>
  <c r="D9" i="7"/>
  <c r="O13" i="3"/>
  <c r="O11" i="3"/>
  <c r="O9" i="3"/>
  <c r="O10" i="3"/>
  <c r="O12" i="3"/>
  <c r="G7" i="6" l="1"/>
  <c r="G12" i="6"/>
</calcChain>
</file>

<file path=xl/sharedStrings.xml><?xml version="1.0" encoding="utf-8"?>
<sst xmlns="http://schemas.openxmlformats.org/spreadsheetml/2006/main" count="502" uniqueCount="117">
  <si>
    <r>
      <t>Příloha č. 1:</t>
    </r>
    <r>
      <rPr>
        <i/>
        <sz val="11.5"/>
        <rFont val="Times New Roman"/>
        <family val="1"/>
        <charset val="238"/>
      </rPr>
      <t xml:space="preserve"> Celkové výdaje na školy a školská zařízení zřizované Karlovarským krajem v Kč</t>
    </r>
  </si>
  <si>
    <t xml:space="preserve"> </t>
  </si>
  <si>
    <t xml:space="preserve">Školy a školská zařízení </t>
  </si>
  <si>
    <t>přímé výdaje</t>
  </si>
  <si>
    <t>provozní výdaje</t>
  </si>
  <si>
    <t>investiční výdaje</t>
  </si>
  <si>
    <t>programové financování</t>
  </si>
  <si>
    <t>celkem</t>
  </si>
  <si>
    <t>ZŠ</t>
  </si>
  <si>
    <t>SŠ</t>
  </si>
  <si>
    <t>VOŠ</t>
  </si>
  <si>
    <t>DD</t>
  </si>
  <si>
    <t>DM</t>
  </si>
  <si>
    <t>ZUŠ</t>
  </si>
  <si>
    <t>PPP</t>
  </si>
  <si>
    <t>DDM</t>
  </si>
  <si>
    <t>ŠS, ŠJ</t>
  </si>
  <si>
    <t>C e l k e m</t>
  </si>
  <si>
    <r>
      <t xml:space="preserve">Příloha č. 2: </t>
    </r>
    <r>
      <rPr>
        <i/>
        <sz val="11.5"/>
        <rFont val="Times New Roman"/>
        <family val="1"/>
        <charset val="238"/>
      </rPr>
      <t>Výdaje na dítě, žáka, studenta ve školách a školských zařízeních zřizovaných Karlovarským krajem v Kč</t>
    </r>
  </si>
  <si>
    <r>
      <t xml:space="preserve">Příloha č. 3: </t>
    </r>
    <r>
      <rPr>
        <i/>
        <sz val="11.5"/>
        <rFont val="Times New Roman"/>
        <family val="1"/>
        <charset val="238"/>
      </rPr>
      <t>Celkové výdaje na přímé výdaje ve školách a školských zařízeních zřizovaných obcemi v Kč</t>
    </r>
  </si>
  <si>
    <t>výkony</t>
  </si>
  <si>
    <t>platy</t>
  </si>
  <si>
    <t>OON</t>
  </si>
  <si>
    <t>odvody, FKSP a ONIV</t>
  </si>
  <si>
    <t>MŠ</t>
  </si>
  <si>
    <t>ŠD, ŠK</t>
  </si>
  <si>
    <t>ŠJ</t>
  </si>
  <si>
    <t>Celkem</t>
  </si>
  <si>
    <r>
      <t xml:space="preserve">Příloha č. 4: </t>
    </r>
    <r>
      <rPr>
        <i/>
        <sz val="11.5"/>
        <rFont val="Times New Roman"/>
        <family val="1"/>
        <charset val="238"/>
      </rPr>
      <t>Výdaje na jedno dítě, žáka a studenta na přímé výdaje ve školách a školských zařízeních zřizovaných obcemi v Kč</t>
    </r>
  </si>
  <si>
    <t>platy na žáka</t>
  </si>
  <si>
    <t>celkové přímé výdaje</t>
  </si>
  <si>
    <t>ŠD</t>
  </si>
  <si>
    <t>přímé výdaje vč. programového financování</t>
  </si>
  <si>
    <t>ZŠ, ZŠ pro ŽSVP</t>
  </si>
  <si>
    <r>
      <t xml:space="preserve">Příloha č. 5: </t>
    </r>
    <r>
      <rPr>
        <i/>
        <sz val="11.5"/>
        <rFont val="Times New Roman"/>
        <family val="1"/>
        <charset val="238"/>
      </rPr>
      <t>Celkové výdaje na školy a školská zařízení zřizované soukromníkem v Kč</t>
    </r>
  </si>
  <si>
    <r>
      <t xml:space="preserve">Příloha č. 6: </t>
    </r>
    <r>
      <rPr>
        <i/>
        <sz val="11.5"/>
        <rFont val="Times New Roman"/>
        <family val="1"/>
        <charset val="238"/>
      </rPr>
      <t>Výdaje na dítě, žáka a studenta ve školách a školských zařízeních zřizovaných soukromníkem v Kč</t>
    </r>
  </si>
  <si>
    <t>Regionální školství</t>
  </si>
  <si>
    <t>Přepočtený počet zaměstnanců ze státního rozpočtu</t>
  </si>
  <si>
    <t>Mzdové prostředky bez OON  v Kč</t>
  </si>
  <si>
    <t>Průměrný měsíční plat v Kč ze mzdových postředků bez OON</t>
  </si>
  <si>
    <t>Jednotlivé složky platů v Kč</t>
  </si>
  <si>
    <t>OON                   v Kč</t>
  </si>
  <si>
    <t>Platové tarify</t>
  </si>
  <si>
    <t>Náhrady platu</t>
  </si>
  <si>
    <t>Osobní příplatky</t>
  </si>
  <si>
    <t>Odměny</t>
  </si>
  <si>
    <t>Příplatky za vedení</t>
  </si>
  <si>
    <t>Zvláštní příplatky</t>
  </si>
  <si>
    <t>Odměny za přespočetné hodiny</t>
  </si>
  <si>
    <t>Platy za přesčasy</t>
  </si>
  <si>
    <t>Ostatní příplatky a ostatní náhrady</t>
  </si>
  <si>
    <t>ZUŠ, DDM</t>
  </si>
  <si>
    <t xml:space="preserve">C E L K E M </t>
  </si>
  <si>
    <t>Mzdové prostředky bez OON                   v Kč</t>
  </si>
  <si>
    <t>OON                              v  Kč</t>
  </si>
  <si>
    <t>ZUŠ, DDM, DM, PPP, ŠH</t>
  </si>
  <si>
    <t>Mzdové prostředky bez OON                v Kč</t>
  </si>
  <si>
    <t>MŠ, ZŠ, SŠ pro ŽSVP</t>
  </si>
  <si>
    <t>Mzdové prostředky bez OON      v Kč</t>
  </si>
  <si>
    <t>C E L K E M</t>
  </si>
  <si>
    <t>Druh zařízení</t>
  </si>
  <si>
    <t>ø eviden. počet zaměst.</t>
  </si>
  <si>
    <t>platy zaměstnanců za rok</t>
  </si>
  <si>
    <t>ø měsíční plat na 1 zaměst.</t>
  </si>
  <si>
    <t>plat na 1</t>
  </si>
  <si>
    <t>CELKEM</t>
  </si>
  <si>
    <t>okres Karlovy Vary</t>
  </si>
  <si>
    <t>platy zaměst-nanců za rok</t>
  </si>
  <si>
    <t>okres Sokolov</t>
  </si>
  <si>
    <t>ZŠ,SŠ,ZŠ a SŠ pro ŽSVP</t>
  </si>
  <si>
    <t>okres Cheb</t>
  </si>
  <si>
    <t>OKRESY CELKEM</t>
  </si>
  <si>
    <t>MŠ a ZŠ pro ŽSVP</t>
  </si>
  <si>
    <t>SPC a PPP</t>
  </si>
  <si>
    <t xml:space="preserve">DD </t>
  </si>
  <si>
    <r>
      <rPr>
        <sz val="10"/>
        <rFont val="Arial"/>
        <family val="2"/>
        <charset val="238"/>
      </rPr>
      <t>Příloha č. 16: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Karlovarským krajem podle okresů v Kč</t>
    </r>
  </si>
  <si>
    <t>specializační příplatky</t>
  </si>
  <si>
    <t>Specializační příplatky</t>
  </si>
  <si>
    <t>Příloha č. 14: Vývoj průměrného platu ve školách a školských zařízeních zřizovaných obcemi podle okresů v Kč</t>
  </si>
  <si>
    <t>SŠ, SPV</t>
  </si>
  <si>
    <t>ZŠ, SŠ</t>
  </si>
  <si>
    <t>ZŠ a SŠ pro ŽSVP</t>
  </si>
  <si>
    <t>SŠ, VOŠ</t>
  </si>
  <si>
    <t>rok 2016</t>
  </si>
  <si>
    <t>ZŠ, SPC, SŠ pro ŽSVP</t>
  </si>
  <si>
    <t xml:space="preserve">MŠ a ZŠ při zdrav.zař. </t>
  </si>
  <si>
    <t xml:space="preserve"> ZŠ, SPC,  SŠ pro ŽSVP</t>
  </si>
  <si>
    <t xml:space="preserve"> ZŠ, SPC, SŠ pro ŽSVP</t>
  </si>
  <si>
    <t>MŠ, ZŠ při zdrav.zař.</t>
  </si>
  <si>
    <t xml:space="preserve"> ZŠ, SŠ pro ŽSVP</t>
  </si>
  <si>
    <r>
      <t xml:space="preserve">Příloha č. 13: </t>
    </r>
    <r>
      <rPr>
        <i/>
        <sz val="11.5"/>
        <rFont val="Times New Roman"/>
        <family val="1"/>
        <charset val="238"/>
      </rPr>
      <t xml:space="preserve">Vývoj průměrného platu ve školách a školských zařízeních </t>
    </r>
    <r>
      <rPr>
        <b/>
        <i/>
        <sz val="11.5"/>
        <rFont val="Times New Roman"/>
        <family val="1"/>
        <charset val="238"/>
      </rPr>
      <t>zřizovaných obcemi</t>
    </r>
    <r>
      <rPr>
        <i/>
        <sz val="11.5"/>
        <rFont val="Times New Roman"/>
        <family val="1"/>
        <charset val="238"/>
      </rPr>
      <t xml:space="preserve"> v Kč</t>
    </r>
  </si>
  <si>
    <t>rok 2017</t>
  </si>
  <si>
    <t>ZŠ, SŠ pro ŽSVP</t>
  </si>
  <si>
    <r>
      <rPr>
        <sz val="10"/>
        <rFont val="Arial"/>
        <family val="2"/>
        <charset val="238"/>
      </rPr>
      <t xml:space="preserve">Příloha č. 15: </t>
    </r>
    <r>
      <rPr>
        <i/>
        <sz val="10"/>
        <rFont val="Arial"/>
        <family val="2"/>
        <charset val="238"/>
      </rPr>
      <t xml:space="preserve">Vývoj průměrného platu ve školách a školských zařízeních </t>
    </r>
    <r>
      <rPr>
        <b/>
        <i/>
        <sz val="10"/>
        <rFont val="Arial"/>
        <family val="2"/>
        <charset val="238"/>
      </rPr>
      <t>zřizovaných Karlovarským krajem</t>
    </r>
    <r>
      <rPr>
        <i/>
        <sz val="10"/>
        <rFont val="Arial"/>
        <family val="2"/>
        <charset val="238"/>
      </rPr>
      <t xml:space="preserve"> v Kč</t>
    </r>
  </si>
  <si>
    <t>ŠH</t>
  </si>
  <si>
    <t>MŠ a ZŠ při zdrav. zař.</t>
  </si>
  <si>
    <t>výkony 2016/2017</t>
  </si>
  <si>
    <t xml:space="preserve"> rok  2017</t>
  </si>
  <si>
    <t>rok 2018</t>
  </si>
  <si>
    <r>
      <t xml:space="preserve">Příloha č. 12: </t>
    </r>
    <r>
      <rPr>
        <i/>
        <sz val="11.5"/>
        <rFont val="Times New Roman"/>
        <family val="1"/>
        <charset val="238"/>
      </rPr>
      <t xml:space="preserve">Platové složky nepedagogických pracovníků hrazené ze státního rozpočtu ve školách a školských zařízeních zřizovaných Karlovarským krajem za rok </t>
    </r>
    <r>
      <rPr>
        <sz val="11.5"/>
        <rFont val="Times New Roman"/>
        <family val="1"/>
        <charset val="238"/>
      </rPr>
      <t>2018</t>
    </r>
  </si>
  <si>
    <t xml:space="preserve">Zřizovatel - Karlovarský kraj - rok 2018 - nepedagogičtí pracovníci </t>
  </si>
  <si>
    <r>
      <t xml:space="preserve">Příloha č. 10: </t>
    </r>
    <r>
      <rPr>
        <i/>
        <sz val="11"/>
        <rFont val="Times New Roman"/>
        <family val="1"/>
        <charset val="238"/>
      </rPr>
      <t>Platové složky pedagogických pracovníků hrazené ze státního rozpočtu ve školách a školských zařízeních zřizovaných Karlovarským krajem za rok 2018</t>
    </r>
  </si>
  <si>
    <t xml:space="preserve">Zřizovatel - Karlovarský kraj - rok 2018 - pedagogičtí pracovníci </t>
  </si>
  <si>
    <r>
      <t xml:space="preserve">Příloha č. 11: </t>
    </r>
    <r>
      <rPr>
        <i/>
        <sz val="11.5"/>
        <rFont val="Times New Roman"/>
        <family val="1"/>
        <charset val="238"/>
      </rPr>
      <t>Platové složky nepedagogických pracovníků hrazené ze státního rozpočtu ve školách a školských zařízeních zřizovaných obcemi za rok 2018</t>
    </r>
  </si>
  <si>
    <t xml:space="preserve">Zřizovatel - obec - rok 2018 - nepedagogičtí pracovníci </t>
  </si>
  <si>
    <t xml:space="preserve">Zřizovatel - obec - rok 2018 - pedagogičtí pracovníci </t>
  </si>
  <si>
    <r>
      <t xml:space="preserve">Příloha č. 9: </t>
    </r>
    <r>
      <rPr>
        <i/>
        <sz val="11.5"/>
        <rFont val="Times New Roman"/>
        <family val="1"/>
        <charset val="238"/>
      </rPr>
      <t>Platové složky pedagogických pracovníků hrazené ze státního rozpočtu ve školách a školských zařízeních zřizovaných obcemi za rok 2018</t>
    </r>
  </si>
  <si>
    <r>
      <t xml:space="preserve">Příloha č. 8: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Karlovarským krajem za rok 2018</t>
    </r>
  </si>
  <si>
    <t>Zřizovatel - Karlovarský kraj - rok 2018 - pracovníci celkem</t>
  </si>
  <si>
    <r>
      <t xml:space="preserve">Příloha č. 7: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obcemi za rok 2018</t>
    </r>
  </si>
  <si>
    <t>Zřizovatel - obec - rok 2018 - pracovníci celkem</t>
  </si>
  <si>
    <t>index 2018/2017</t>
  </si>
  <si>
    <t>výkony 2017/2018</t>
  </si>
  <si>
    <t>MŠ, ZŠ</t>
  </si>
  <si>
    <t xml:space="preserve"> rok  2018</t>
  </si>
  <si>
    <t>procentní podíl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</si>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</sst>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"/>
  </numFmts>
  <fonts count="23" x14ac:knownFonts="1">
    <font>
      <sz val="11"/>
      <color theme="1"/>
      <name val="Calibri"/>
      <family val="2"/>
      <charset val="238"/>
      <scheme val="minor"/>
    </font>
    <font>
      <sz val="11.5"/>
      <name val="Times New Roman"/>
      <family val="1"/>
      <charset val="238"/>
    </font>
    <font>
      <i/>
      <sz val="11.5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1.5"/>
      <name val="Times New Roman"/>
      <family val="1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53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0" fillId="0" borderId="13" xfId="0" applyFill="1" applyBorder="1" applyAlignment="1">
      <alignment horizontal="lef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15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0" xfId="0" applyNumberFormat="1" applyFont="1" applyFill="1" applyBorder="1" applyAlignment="1">
      <alignment horizontal="right" vertical="center"/>
    </xf>
    <xf numFmtId="3" fontId="4" fillId="3" borderId="20" xfId="0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3" fontId="4" fillId="0" borderId="29" xfId="0" applyNumberFormat="1" applyFont="1" applyFill="1" applyBorder="1" applyAlignment="1">
      <alignment horizontal="right" vertical="center"/>
    </xf>
    <xf numFmtId="3" fontId="9" fillId="0" borderId="30" xfId="0" applyNumberFormat="1" applyFont="1" applyBorder="1" applyAlignment="1">
      <alignment horizontal="right" vertical="center"/>
    </xf>
    <xf numFmtId="3" fontId="9" fillId="0" borderId="31" xfId="0" applyNumberFormat="1" applyFont="1" applyBorder="1" applyAlignment="1">
      <alignment horizontal="right" vertical="center" wrapText="1"/>
    </xf>
    <xf numFmtId="3" fontId="4" fillId="3" borderId="11" xfId="0" applyNumberFormat="1" applyFont="1" applyFill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3" fontId="9" fillId="0" borderId="35" xfId="0" applyNumberFormat="1" applyFont="1" applyBorder="1" applyAlignment="1">
      <alignment horizontal="right" vertical="center"/>
    </xf>
    <xf numFmtId="3" fontId="9" fillId="0" borderId="36" xfId="0" applyNumberFormat="1" applyFont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2" fontId="3" fillId="0" borderId="3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3" fontId="3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3" borderId="55" xfId="0" applyFont="1" applyFill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6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left" vertical="center" wrapText="1"/>
    </xf>
    <xf numFmtId="3" fontId="0" fillId="0" borderId="0" xfId="0" applyNumberFormat="1"/>
    <xf numFmtId="0" fontId="5" fillId="0" borderId="0" xfId="0" applyFont="1"/>
    <xf numFmtId="164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164" fontId="0" fillId="0" borderId="41" xfId="0" applyNumberFormat="1" applyBorder="1" applyAlignment="1">
      <alignment vertical="center"/>
    </xf>
    <xf numFmtId="3" fontId="0" fillId="0" borderId="76" xfId="0" applyNumberFormat="1" applyBorder="1" applyAlignment="1">
      <alignment vertical="center"/>
    </xf>
    <xf numFmtId="3" fontId="0" fillId="0" borderId="47" xfId="0" applyNumberFormat="1" applyBorder="1" applyAlignment="1">
      <alignment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164" fontId="0" fillId="0" borderId="68" xfId="0" applyNumberFormat="1" applyBorder="1" applyAlignment="1">
      <alignment vertical="center"/>
    </xf>
    <xf numFmtId="3" fontId="0" fillId="0" borderId="70" xfId="0" applyNumberFormat="1" applyBorder="1" applyAlignment="1">
      <alignment vertical="center"/>
    </xf>
    <xf numFmtId="3" fontId="0" fillId="0" borderId="42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6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3" fontId="0" fillId="0" borderId="0" xfId="0" applyNumberFormat="1" applyFill="1" applyAlignment="1">
      <alignment vertical="center"/>
    </xf>
    <xf numFmtId="164" fontId="0" fillId="5" borderId="41" xfId="0" applyNumberFormat="1" applyFill="1" applyBorder="1" applyAlignment="1">
      <alignment vertical="center"/>
    </xf>
    <xf numFmtId="3" fontId="0" fillId="5" borderId="76" xfId="0" applyNumberFormat="1" applyFill="1" applyBorder="1" applyAlignment="1">
      <alignment vertical="center"/>
    </xf>
    <xf numFmtId="3" fontId="0" fillId="5" borderId="42" xfId="0" applyNumberFormat="1" applyFill="1" applyBorder="1" applyAlignment="1">
      <alignment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81" xfId="0" applyNumberFormat="1" applyFont="1" applyFill="1" applyBorder="1" applyAlignment="1">
      <alignment vertical="center"/>
    </xf>
    <xf numFmtId="0" fontId="0" fillId="0" borderId="41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4" fillId="0" borderId="82" xfId="0" applyNumberFormat="1" applyFont="1" applyBorder="1" applyAlignment="1">
      <alignment vertical="center"/>
    </xf>
    <xf numFmtId="3" fontId="4" fillId="0" borderId="83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3" fontId="4" fillId="0" borderId="76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5" borderId="41" xfId="0" applyNumberFormat="1" applyFont="1" applyFill="1" applyBorder="1" applyAlignment="1">
      <alignment vertical="center"/>
    </xf>
    <xf numFmtId="3" fontId="4" fillId="5" borderId="76" xfId="0" applyNumberFormat="1" applyFont="1" applyFill="1" applyBorder="1" applyAlignment="1">
      <alignment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" fontId="0" fillId="0" borderId="0" xfId="0" applyNumberFormat="1" applyAlignment="1">
      <alignment vertical="center"/>
    </xf>
    <xf numFmtId="1" fontId="13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vertical="center"/>
    </xf>
    <xf numFmtId="3" fontId="0" fillId="0" borderId="67" xfId="0" applyNumberFormat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2" fontId="4" fillId="0" borderId="5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3" fillId="0" borderId="39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13" fillId="0" borderId="55" xfId="0" applyFont="1" applyBorder="1" applyAlignment="1">
      <alignment vertical="center"/>
    </xf>
    <xf numFmtId="0" fontId="13" fillId="0" borderId="60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13" fillId="0" borderId="62" xfId="0" applyFont="1" applyBorder="1" applyAlignment="1">
      <alignment vertical="center"/>
    </xf>
    <xf numFmtId="0" fontId="13" fillId="0" borderId="74" xfId="0" applyFont="1" applyBorder="1" applyAlignment="1">
      <alignment vertical="center"/>
    </xf>
    <xf numFmtId="1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66" fontId="0" fillId="0" borderId="0" xfId="0" applyNumberFormat="1" applyFill="1" applyAlignment="1">
      <alignment vertical="center"/>
    </xf>
    <xf numFmtId="166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0" fillId="0" borderId="0" xfId="0" applyNumberFormat="1" applyAlignment="1">
      <alignment horizontal="center" vertical="center"/>
    </xf>
    <xf numFmtId="0" fontId="13" fillId="0" borderId="61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44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16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3" fontId="4" fillId="0" borderId="71" xfId="0" applyNumberFormat="1" applyFont="1" applyFill="1" applyBorder="1" applyAlignment="1">
      <alignment vertical="center"/>
    </xf>
    <xf numFmtId="3" fontId="4" fillId="0" borderId="82" xfId="0" applyNumberFormat="1" applyFont="1" applyFill="1" applyBorder="1" applyAlignment="1">
      <alignment vertical="center"/>
    </xf>
    <xf numFmtId="0" fontId="6" fillId="0" borderId="74" xfId="0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3" fontId="4" fillId="0" borderId="17" xfId="0" applyNumberFormat="1" applyFont="1" applyFill="1" applyBorder="1" applyAlignment="1">
      <alignment vertical="center"/>
    </xf>
    <xf numFmtId="4" fontId="4" fillId="0" borderId="82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" fontId="0" fillId="0" borderId="22" xfId="0" applyNumberFormat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/>
    </xf>
    <xf numFmtId="3" fontId="0" fillId="0" borderId="74" xfId="0" applyNumberFormat="1" applyBorder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3" fontId="8" fillId="0" borderId="70" xfId="0" applyNumberFormat="1" applyFont="1" applyFill="1" applyBorder="1" applyAlignment="1">
      <alignment vertical="center"/>
    </xf>
    <xf numFmtId="3" fontId="0" fillId="0" borderId="80" xfId="0" applyNumberFormat="1" applyBorder="1" applyAlignment="1">
      <alignment vertical="center"/>
    </xf>
    <xf numFmtId="3" fontId="8" fillId="0" borderId="75" xfId="0" applyNumberFormat="1" applyFont="1" applyFill="1" applyBorder="1" applyAlignment="1">
      <alignment vertical="center"/>
    </xf>
    <xf numFmtId="3" fontId="0" fillId="0" borderId="11" xfId="0" applyNumberFormat="1" applyBorder="1" applyAlignment="1">
      <alignment horizontal="right" vertical="center"/>
    </xf>
    <xf numFmtId="3" fontId="0" fillId="0" borderId="71" xfId="0" applyNumberFormat="1" applyBorder="1" applyAlignment="1">
      <alignment vertical="center"/>
    </xf>
    <xf numFmtId="164" fontId="0" fillId="6" borderId="41" xfId="0" applyNumberFormat="1" applyFill="1" applyBorder="1" applyAlignment="1">
      <alignment vertical="center"/>
    </xf>
    <xf numFmtId="3" fontId="0" fillId="6" borderId="76" xfId="0" applyNumberFormat="1" applyFill="1" applyBorder="1" applyAlignment="1">
      <alignment vertical="center"/>
    </xf>
    <xf numFmtId="0" fontId="0" fillId="0" borderId="14" xfId="0" applyBorder="1" applyAlignment="1">
      <alignment vertical="center"/>
    </xf>
    <xf numFmtId="3" fontId="0" fillId="6" borderId="47" xfId="0" applyNumberFormat="1" applyFill="1" applyBorder="1" applyAlignment="1">
      <alignment vertical="center"/>
    </xf>
    <xf numFmtId="164" fontId="21" fillId="0" borderId="14" xfId="0" applyNumberFormat="1" applyFont="1" applyBorder="1" applyAlignment="1">
      <alignment vertical="center"/>
    </xf>
    <xf numFmtId="3" fontId="21" fillId="0" borderId="15" xfId="0" applyNumberFormat="1" applyFont="1" applyBorder="1" applyAlignment="1">
      <alignment vertical="center"/>
    </xf>
    <xf numFmtId="3" fontId="21" fillId="0" borderId="22" xfId="0" applyNumberFormat="1" applyFont="1" applyBorder="1" applyAlignment="1">
      <alignment vertical="center"/>
    </xf>
    <xf numFmtId="164" fontId="21" fillId="0" borderId="68" xfId="0" applyNumberFormat="1" applyFont="1" applyBorder="1" applyAlignment="1">
      <alignment vertical="center"/>
    </xf>
    <xf numFmtId="3" fontId="21" fillId="0" borderId="70" xfId="0" applyNumberFormat="1" applyFont="1" applyBorder="1" applyAlignment="1">
      <alignment vertical="center"/>
    </xf>
    <xf numFmtId="3" fontId="21" fillId="0" borderId="71" xfId="0" applyNumberFormat="1" applyFont="1" applyBorder="1" applyAlignment="1">
      <alignment vertical="center"/>
    </xf>
    <xf numFmtId="164" fontId="21" fillId="0" borderId="41" xfId="0" applyNumberFormat="1" applyFont="1" applyBorder="1" applyAlignment="1">
      <alignment vertical="center"/>
    </xf>
    <xf numFmtId="3" fontId="21" fillId="0" borderId="76" xfId="0" applyNumberFormat="1" applyFont="1" applyBorder="1" applyAlignment="1">
      <alignment vertical="center"/>
    </xf>
    <xf numFmtId="3" fontId="21" fillId="0" borderId="42" xfId="0" applyNumberFormat="1" applyFont="1" applyBorder="1" applyAlignment="1">
      <alignment vertical="center"/>
    </xf>
    <xf numFmtId="0" fontId="0" fillId="0" borderId="41" xfId="0" applyFont="1" applyBorder="1" applyAlignment="1">
      <alignment horizontal="center" vertical="center" wrapText="1"/>
    </xf>
    <xf numFmtId="0" fontId="0" fillId="0" borderId="76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164" fontId="21" fillId="6" borderId="41" xfId="0" applyNumberFormat="1" applyFont="1" applyFill="1" applyBorder="1" applyAlignment="1">
      <alignment vertical="center"/>
    </xf>
    <xf numFmtId="3" fontId="21" fillId="6" borderId="76" xfId="0" applyNumberFormat="1" applyFont="1" applyFill="1" applyBorder="1" applyAlignment="1">
      <alignment vertical="center"/>
    </xf>
    <xf numFmtId="3" fontId="21" fillId="6" borderId="42" xfId="0" applyNumberFormat="1" applyFont="1" applyFill="1" applyBorder="1" applyAlignment="1">
      <alignment vertical="center"/>
    </xf>
    <xf numFmtId="3" fontId="3" fillId="0" borderId="87" xfId="0" applyNumberFormat="1" applyFont="1" applyBorder="1" applyAlignment="1">
      <alignment vertical="center"/>
    </xf>
    <xf numFmtId="3" fontId="3" fillId="0" borderId="21" xfId="0" applyNumberFormat="1" applyFont="1" applyBorder="1" applyAlignment="1">
      <alignment vertical="center"/>
    </xf>
    <xf numFmtId="3" fontId="4" fillId="0" borderId="53" xfId="0" applyNumberFormat="1" applyFont="1" applyFill="1" applyBorder="1" applyAlignment="1">
      <alignment vertical="center"/>
    </xf>
    <xf numFmtId="3" fontId="4" fillId="0" borderId="56" xfId="0" applyNumberFormat="1" applyFont="1" applyFill="1" applyBorder="1" applyAlignment="1">
      <alignment vertical="center"/>
    </xf>
    <xf numFmtId="3" fontId="4" fillId="0" borderId="88" xfId="0" applyNumberFormat="1" applyFont="1" applyFill="1" applyBorder="1" applyAlignment="1">
      <alignment vertical="center"/>
    </xf>
    <xf numFmtId="3" fontId="4" fillId="0" borderId="8" xfId="1" applyNumberFormat="1" applyFont="1" applyBorder="1"/>
    <xf numFmtId="4" fontId="3" fillId="0" borderId="21" xfId="0" applyNumberFormat="1" applyFont="1" applyBorder="1" applyAlignment="1">
      <alignment vertical="center"/>
    </xf>
    <xf numFmtId="3" fontId="4" fillId="0" borderId="89" xfId="0" applyNumberFormat="1" applyFont="1" applyFill="1" applyBorder="1" applyAlignment="1">
      <alignment horizontal="right" vertical="center"/>
    </xf>
    <xf numFmtId="3" fontId="4" fillId="0" borderId="90" xfId="0" applyNumberFormat="1" applyFont="1" applyBorder="1" applyAlignment="1">
      <alignment vertical="center"/>
    </xf>
    <xf numFmtId="3" fontId="4" fillId="0" borderId="88" xfId="0" applyNumberFormat="1" applyFont="1" applyBorder="1" applyAlignment="1">
      <alignment vertical="center"/>
    </xf>
    <xf numFmtId="3" fontId="4" fillId="0" borderId="19" xfId="0" applyNumberFormat="1" applyFont="1" applyFill="1" applyBorder="1" applyAlignment="1">
      <alignment horizontal="right" vertical="center"/>
    </xf>
    <xf numFmtId="3" fontId="4" fillId="0" borderId="80" xfId="0" applyNumberFormat="1" applyFont="1" applyBorder="1" applyAlignment="1">
      <alignment vertical="center"/>
    </xf>
    <xf numFmtId="3" fontId="4" fillId="0" borderId="71" xfId="0" applyNumberFormat="1" applyFont="1" applyBorder="1" applyAlignment="1">
      <alignment vertical="center"/>
    </xf>
    <xf numFmtId="3" fontId="4" fillId="0" borderId="74" xfId="0" applyNumberFormat="1" applyFont="1" applyBorder="1" applyAlignment="1">
      <alignment vertical="center"/>
    </xf>
    <xf numFmtId="3" fontId="0" fillId="0" borderId="15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8" fillId="0" borderId="15" xfId="0" applyNumberFormat="1" applyFont="1" applyFill="1" applyBorder="1" applyAlignment="1">
      <alignment horizontal="right"/>
    </xf>
    <xf numFmtId="3" fontId="0" fillId="0" borderId="17" xfId="0" applyNumberFormat="1" applyBorder="1" applyAlignment="1">
      <alignment vertical="center"/>
    </xf>
    <xf numFmtId="3" fontId="0" fillId="0" borderId="70" xfId="0" applyNumberFormat="1" applyBorder="1" applyAlignment="1">
      <alignment horizontal="right" vertical="center"/>
    </xf>
    <xf numFmtId="3" fontId="0" fillId="0" borderId="71" xfId="0" applyNumberFormat="1" applyBorder="1" applyAlignment="1">
      <alignment horizontal="right" vertical="center"/>
    </xf>
    <xf numFmtId="3" fontId="0" fillId="0" borderId="76" xfId="0" applyNumberFormat="1" applyBorder="1" applyAlignment="1">
      <alignment horizontal="right" vertical="center"/>
    </xf>
    <xf numFmtId="3" fontId="0" fillId="0" borderId="42" xfId="0" applyNumberFormat="1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 wrapText="1"/>
    </xf>
    <xf numFmtId="3" fontId="0" fillId="0" borderId="12" xfId="0" applyNumberFormat="1" applyBorder="1" applyAlignment="1">
      <alignment horizontal="right" vertical="center"/>
    </xf>
    <xf numFmtId="3" fontId="4" fillId="0" borderId="62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3" fontId="0" fillId="0" borderId="0" xfId="0" applyNumberFormat="1" applyFont="1"/>
    <xf numFmtId="0" fontId="0" fillId="0" borderId="66" xfId="0" applyBorder="1" applyAlignment="1">
      <alignment horizontal="center" vertical="center" wrapText="1"/>
    </xf>
    <xf numFmtId="3" fontId="4" fillId="0" borderId="38" xfId="0" applyNumberFormat="1" applyFont="1" applyBorder="1" applyAlignment="1">
      <alignment vertical="center"/>
    </xf>
    <xf numFmtId="3" fontId="3" fillId="0" borderId="43" xfId="0" applyNumberFormat="1" applyFont="1" applyFill="1" applyBorder="1" applyAlignment="1">
      <alignment horizontal="center" vertical="center"/>
    </xf>
    <xf numFmtId="3" fontId="4" fillId="0" borderId="87" xfId="0" applyNumberFormat="1" applyFont="1" applyBorder="1" applyAlignment="1">
      <alignment horizontal="right" vertical="center"/>
    </xf>
    <xf numFmtId="3" fontId="4" fillId="0" borderId="93" xfId="0" applyNumberFormat="1" applyFont="1" applyBorder="1" applyAlignment="1">
      <alignment horizontal="right" vertical="center"/>
    </xf>
    <xf numFmtId="3" fontId="4" fillId="0" borderId="40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82" xfId="0" applyNumberFormat="1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3" fontId="4" fillId="0" borderId="94" xfId="0" applyNumberFormat="1" applyFont="1" applyBorder="1" applyAlignment="1">
      <alignment vertical="center"/>
    </xf>
    <xf numFmtId="3" fontId="4" fillId="0" borderId="83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53" xfId="0" applyNumberFormat="1" applyFont="1" applyBorder="1" applyAlignment="1">
      <alignment vertical="center"/>
    </xf>
    <xf numFmtId="3" fontId="4" fillId="0" borderId="95" xfId="0" applyNumberFormat="1" applyFont="1" applyBorder="1" applyAlignment="1">
      <alignment vertical="center"/>
    </xf>
    <xf numFmtId="3" fontId="4" fillId="0" borderId="97" xfId="0" applyNumberFormat="1" applyFont="1" applyBorder="1" applyAlignment="1">
      <alignment vertical="center"/>
    </xf>
    <xf numFmtId="3" fontId="3" fillId="0" borderId="99" xfId="0" applyNumberFormat="1" applyFont="1" applyFill="1" applyBorder="1" applyAlignment="1">
      <alignment horizontal="center" vertical="center" wrapText="1"/>
    </xf>
    <xf numFmtId="0" fontId="3" fillId="0" borderId="98" xfId="0" applyFont="1" applyFill="1" applyBorder="1" applyAlignment="1">
      <alignment horizontal="center" vertical="center" wrapText="1"/>
    </xf>
    <xf numFmtId="4" fontId="3" fillId="0" borderId="87" xfId="0" applyNumberFormat="1" applyFont="1" applyBorder="1" applyAlignment="1">
      <alignment vertical="center"/>
    </xf>
    <xf numFmtId="3" fontId="3" fillId="0" borderId="41" xfId="0" applyNumberFormat="1" applyFont="1" applyBorder="1" applyAlignment="1">
      <alignment vertical="center"/>
    </xf>
    <xf numFmtId="3" fontId="3" fillId="0" borderId="42" xfId="0" applyNumberFormat="1" applyFont="1" applyBorder="1" applyAlignment="1">
      <alignment vertical="center"/>
    </xf>
    <xf numFmtId="3" fontId="3" fillId="0" borderId="41" xfId="0" applyNumberFormat="1" applyFont="1" applyFill="1" applyBorder="1" applyAlignment="1">
      <alignment vertical="center"/>
    </xf>
    <xf numFmtId="3" fontId="3" fillId="0" borderId="42" xfId="0" applyNumberFormat="1" applyFont="1" applyFill="1" applyBorder="1" applyAlignment="1">
      <alignment vertical="center"/>
    </xf>
    <xf numFmtId="4" fontId="3" fillId="0" borderId="41" xfId="0" applyNumberFormat="1" applyFont="1" applyBorder="1" applyAlignment="1">
      <alignment vertical="center"/>
    </xf>
    <xf numFmtId="4" fontId="3" fillId="0" borderId="42" xfId="0" applyNumberFormat="1" applyFont="1" applyBorder="1" applyAlignment="1">
      <alignment vertical="center"/>
    </xf>
    <xf numFmtId="164" fontId="22" fillId="0" borderId="10" xfId="0" applyNumberFormat="1" applyFont="1" applyBorder="1" applyAlignment="1">
      <alignment horizontal="right" vertical="center"/>
    </xf>
    <xf numFmtId="3" fontId="22" fillId="0" borderId="11" xfId="0" applyNumberFormat="1" applyFont="1" applyBorder="1" applyAlignment="1">
      <alignment horizontal="right" vertical="center"/>
    </xf>
    <xf numFmtId="3" fontId="22" fillId="0" borderId="30" xfId="0" applyNumberFormat="1" applyFont="1" applyBorder="1" applyAlignment="1">
      <alignment horizontal="right" vertical="center"/>
    </xf>
    <xf numFmtId="3" fontId="22" fillId="0" borderId="10" xfId="0" applyNumberFormat="1" applyFont="1" applyBorder="1" applyAlignment="1">
      <alignment horizontal="right" vertical="center"/>
    </xf>
    <xf numFmtId="3" fontId="22" fillId="0" borderId="54" xfId="0" applyNumberFormat="1" applyFont="1" applyBorder="1" applyAlignment="1">
      <alignment horizontal="right" vertical="center" wrapText="1"/>
    </xf>
    <xf numFmtId="3" fontId="22" fillId="0" borderId="12" xfId="0" applyNumberFormat="1" applyFont="1" applyBorder="1" applyAlignment="1">
      <alignment horizontal="right" vertical="center"/>
    </xf>
    <xf numFmtId="164" fontId="22" fillId="0" borderId="43" xfId="0" applyNumberFormat="1" applyFont="1" applyBorder="1" applyAlignment="1">
      <alignment horizontal="right" vertical="center"/>
    </xf>
    <xf numFmtId="3" fontId="22" fillId="0" borderId="51" xfId="0" applyNumberFormat="1" applyFont="1" applyBorder="1" applyAlignment="1">
      <alignment horizontal="right" vertical="center"/>
    </xf>
    <xf numFmtId="3" fontId="22" fillId="0" borderId="52" xfId="0" applyNumberFormat="1" applyFont="1" applyBorder="1" applyAlignment="1">
      <alignment horizontal="right" vertical="center"/>
    </xf>
    <xf numFmtId="3" fontId="22" fillId="0" borderId="43" xfId="0" applyNumberFormat="1" applyFont="1" applyBorder="1" applyAlignment="1">
      <alignment horizontal="right" vertical="center"/>
    </xf>
    <xf numFmtId="3" fontId="22" fillId="0" borderId="57" xfId="0" applyNumberFormat="1" applyFont="1" applyBorder="1" applyAlignment="1">
      <alignment horizontal="right" vertical="center"/>
    </xf>
    <xf numFmtId="3" fontId="22" fillId="0" borderId="5" xfId="0" applyNumberFormat="1" applyFont="1" applyBorder="1" applyAlignment="1">
      <alignment horizontal="right" vertical="center"/>
    </xf>
    <xf numFmtId="164" fontId="4" fillId="0" borderId="58" xfId="0" applyNumberFormat="1" applyFont="1" applyBorder="1" applyAlignment="1">
      <alignment horizontal="right" vertical="center"/>
    </xf>
    <xf numFmtId="3" fontId="9" fillId="0" borderId="20" xfId="0" applyNumberFormat="1" applyFont="1" applyBorder="1" applyAlignment="1">
      <alignment horizontal="right" vertical="center"/>
    </xf>
    <xf numFmtId="3" fontId="9" fillId="0" borderId="59" xfId="0" applyNumberFormat="1" applyFont="1" applyBorder="1" applyAlignment="1">
      <alignment horizontal="right" vertical="center"/>
    </xf>
    <xf numFmtId="3" fontId="4" fillId="0" borderId="58" xfId="0" applyNumberFormat="1" applyFont="1" applyBorder="1" applyAlignment="1">
      <alignment horizontal="right" vertical="center"/>
    </xf>
    <xf numFmtId="3" fontId="4" fillId="0" borderId="100" xfId="0" applyNumberFormat="1" applyFont="1" applyBorder="1" applyAlignment="1">
      <alignment horizontal="right" vertical="center"/>
    </xf>
    <xf numFmtId="3" fontId="4" fillId="0" borderId="92" xfId="0" applyNumberFormat="1" applyFont="1" applyBorder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3" fontId="21" fillId="0" borderId="11" xfId="0" applyNumberFormat="1" applyFont="1" applyBorder="1" applyAlignment="1">
      <alignment horizontal="right" vertical="center"/>
    </xf>
    <xf numFmtId="3" fontId="21" fillId="0" borderId="30" xfId="0" applyNumberFormat="1" applyFont="1" applyBorder="1" applyAlignment="1">
      <alignment horizontal="right" vertical="center"/>
    </xf>
    <xf numFmtId="3" fontId="21" fillId="0" borderId="10" xfId="0" applyNumberFormat="1" applyFont="1" applyBorder="1" applyAlignment="1">
      <alignment horizontal="right" vertical="center"/>
    </xf>
    <xf numFmtId="3" fontId="21" fillId="0" borderId="12" xfId="0" applyNumberFormat="1" applyFont="1" applyBorder="1" applyAlignment="1">
      <alignment horizontal="right" vertical="center"/>
    </xf>
    <xf numFmtId="3" fontId="21" fillId="0" borderId="9" xfId="0" applyNumberFormat="1" applyFont="1" applyBorder="1" applyAlignment="1">
      <alignment horizontal="right" vertical="center"/>
    </xf>
    <xf numFmtId="3" fontId="21" fillId="0" borderId="13" xfId="0" applyNumberFormat="1" applyFont="1" applyBorder="1" applyAlignment="1">
      <alignment horizontal="right" vertical="center"/>
    </xf>
    <xf numFmtId="164" fontId="21" fillId="0" borderId="82" xfId="0" applyNumberFormat="1" applyFont="1" applyBorder="1" applyAlignment="1">
      <alignment horizontal="right" vertical="center"/>
    </xf>
    <xf numFmtId="3" fontId="21" fillId="0" borderId="83" xfId="0" applyNumberFormat="1" applyFont="1" applyBorder="1" applyAlignment="1">
      <alignment horizontal="right" vertical="center"/>
    </xf>
    <xf numFmtId="3" fontId="21" fillId="0" borderId="84" xfId="0" applyNumberFormat="1" applyFont="1" applyBorder="1" applyAlignment="1">
      <alignment horizontal="right" vertical="center"/>
    </xf>
    <xf numFmtId="3" fontId="21" fillId="0" borderId="82" xfId="0" applyNumberFormat="1" applyFont="1" applyBorder="1" applyAlignment="1">
      <alignment horizontal="right" vertical="center"/>
    </xf>
    <xf numFmtId="3" fontId="21" fillId="0" borderId="17" xfId="0" applyNumberFormat="1" applyFont="1" applyBorder="1" applyAlignment="1">
      <alignment horizontal="right" vertical="center"/>
    </xf>
    <xf numFmtId="164" fontId="21" fillId="0" borderId="6" xfId="0" applyNumberFormat="1" applyFont="1" applyBorder="1" applyAlignment="1">
      <alignment horizontal="right" vertical="center"/>
    </xf>
    <xf numFmtId="3" fontId="21" fillId="0" borderId="7" xfId="0" applyNumberFormat="1" applyFont="1" applyBorder="1" applyAlignment="1">
      <alignment horizontal="right" vertical="center"/>
    </xf>
    <xf numFmtId="3" fontId="21" fillId="0" borderId="35" xfId="0" applyNumberFormat="1" applyFont="1" applyBorder="1" applyAlignment="1">
      <alignment horizontal="right" vertical="center"/>
    </xf>
    <xf numFmtId="3" fontId="21" fillId="0" borderId="6" xfId="0" applyNumberFormat="1" applyFont="1" applyBorder="1" applyAlignment="1">
      <alignment horizontal="right" vertical="center"/>
    </xf>
    <xf numFmtId="3" fontId="21" fillId="0" borderId="8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3" fontId="4" fillId="0" borderId="59" xfId="0" applyNumberFormat="1" applyFont="1" applyBorder="1" applyAlignment="1">
      <alignment horizontal="right" vertical="center"/>
    </xf>
    <xf numFmtId="3" fontId="21" fillId="0" borderId="73" xfId="0" applyNumberFormat="1" applyFont="1" applyBorder="1" applyAlignment="1">
      <alignment horizontal="right" vertical="center"/>
    </xf>
    <xf numFmtId="164" fontId="21" fillId="0" borderId="14" xfId="0" applyNumberFormat="1" applyFont="1" applyBorder="1" applyAlignment="1">
      <alignment horizontal="right" vertical="center"/>
    </xf>
    <xf numFmtId="3" fontId="21" fillId="0" borderId="15" xfId="0" applyNumberFormat="1" applyFont="1" applyBorder="1" applyAlignment="1">
      <alignment horizontal="right" vertical="center"/>
    </xf>
    <xf numFmtId="3" fontId="21" fillId="0" borderId="33" xfId="0" applyNumberFormat="1" applyFont="1" applyBorder="1" applyAlignment="1">
      <alignment horizontal="right" vertical="center"/>
    </xf>
    <xf numFmtId="3" fontId="21" fillId="0" borderId="14" xfId="0" applyNumberFormat="1" applyFont="1" applyBorder="1" applyAlignment="1">
      <alignment horizontal="right" vertical="center"/>
    </xf>
    <xf numFmtId="3" fontId="21" fillId="0" borderId="22" xfId="0" applyNumberFormat="1" applyFont="1" applyBorder="1" applyAlignment="1">
      <alignment horizontal="right" vertical="center"/>
    </xf>
    <xf numFmtId="164" fontId="4" fillId="0" borderId="62" xfId="0" applyNumberFormat="1" applyFont="1" applyBorder="1" applyAlignment="1">
      <alignment horizontal="right" vertical="center"/>
    </xf>
    <xf numFmtId="3" fontId="4" fillId="0" borderId="63" xfId="0" applyNumberFormat="1" applyFont="1" applyBorder="1" applyAlignment="1">
      <alignment horizontal="right" vertical="center" wrapText="1"/>
    </xf>
    <xf numFmtId="3" fontId="4" fillId="0" borderId="30" xfId="0" applyNumberFormat="1" applyFont="1" applyBorder="1" applyAlignment="1">
      <alignment horizontal="right" vertical="center"/>
    </xf>
    <xf numFmtId="3" fontId="4" fillId="0" borderId="89" xfId="0" applyNumberFormat="1" applyFont="1" applyBorder="1" applyAlignment="1">
      <alignment horizontal="right" vertical="center" wrapText="1"/>
    </xf>
    <xf numFmtId="3" fontId="4" fillId="0" borderId="90" xfId="0" applyNumberFormat="1" applyFont="1" applyBorder="1" applyAlignment="1">
      <alignment horizontal="right" vertical="center" wrapText="1"/>
    </xf>
    <xf numFmtId="3" fontId="4" fillId="0" borderId="95" xfId="0" applyNumberFormat="1" applyFont="1" applyBorder="1" applyAlignment="1">
      <alignment horizontal="right" vertical="center" wrapText="1"/>
    </xf>
    <xf numFmtId="3" fontId="4" fillId="0" borderId="88" xfId="0" applyNumberFormat="1" applyFont="1" applyBorder="1" applyAlignment="1">
      <alignment horizontal="right" vertical="center" wrapText="1"/>
    </xf>
    <xf numFmtId="164" fontId="4" fillId="0" borderId="64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3" fontId="4" fillId="0" borderId="33" xfId="0" applyNumberFormat="1" applyFont="1" applyBorder="1" applyAlignment="1">
      <alignment horizontal="right" vertical="center" wrapText="1"/>
    </xf>
    <xf numFmtId="3" fontId="4" fillId="0" borderId="22" xfId="0" applyNumberFormat="1" applyFont="1" applyBorder="1" applyAlignment="1">
      <alignment horizontal="right" vertical="center" wrapText="1"/>
    </xf>
    <xf numFmtId="164" fontId="4" fillId="0" borderId="1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3" fontId="4" fillId="0" borderId="65" xfId="0" applyNumberFormat="1" applyFont="1" applyBorder="1" applyAlignment="1">
      <alignment horizontal="right" vertical="center" wrapText="1"/>
    </xf>
    <xf numFmtId="3" fontId="4" fillId="0" borderId="52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4" fillId="0" borderId="35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21" fillId="0" borderId="88" xfId="0" applyNumberFormat="1" applyFont="1" applyBorder="1" applyAlignment="1">
      <alignment horizontal="right" vertical="center"/>
    </xf>
    <xf numFmtId="164" fontId="21" fillId="0" borderId="68" xfId="0" applyNumberFormat="1" applyFont="1" applyBorder="1" applyAlignment="1">
      <alignment horizontal="right" vertical="center"/>
    </xf>
    <xf numFmtId="3" fontId="21" fillId="0" borderId="68" xfId="0" applyNumberFormat="1" applyFont="1" applyBorder="1" applyAlignment="1">
      <alignment horizontal="right" vertical="center"/>
    </xf>
    <xf numFmtId="3" fontId="21" fillId="0" borderId="69" xfId="0" applyNumberFormat="1" applyFont="1" applyBorder="1" applyAlignment="1">
      <alignment horizontal="right" vertical="center"/>
    </xf>
    <xf numFmtId="3" fontId="21" fillId="0" borderId="86" xfId="0" applyNumberFormat="1" applyFont="1" applyBorder="1" applyAlignment="1">
      <alignment horizontal="right" vertical="center"/>
    </xf>
    <xf numFmtId="3" fontId="21" fillId="0" borderId="71" xfId="0" applyNumberFormat="1" applyFont="1" applyBorder="1" applyAlignment="1">
      <alignment horizontal="right" vertical="center"/>
    </xf>
    <xf numFmtId="3" fontId="21" fillId="0" borderId="70" xfId="0" applyNumberFormat="1" applyFont="1" applyBorder="1" applyAlignment="1">
      <alignment horizontal="right" vertical="center"/>
    </xf>
    <xf numFmtId="3" fontId="21" fillId="0" borderId="96" xfId="0" applyNumberFormat="1" applyFont="1" applyBorder="1" applyAlignment="1">
      <alignment horizontal="right" vertical="center"/>
    </xf>
    <xf numFmtId="3" fontId="4" fillId="0" borderId="75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72" xfId="0" applyNumberFormat="1" applyFont="1" applyBorder="1" applyAlignment="1">
      <alignment horizontal="right" vertical="center"/>
    </xf>
    <xf numFmtId="3" fontId="4" fillId="0" borderId="38" xfId="0" applyNumberFormat="1" applyFont="1" applyBorder="1" applyAlignment="1">
      <alignment horizontal="right" vertical="center"/>
    </xf>
    <xf numFmtId="164" fontId="21" fillId="0" borderId="62" xfId="0" applyNumberFormat="1" applyFont="1" applyBorder="1" applyAlignment="1">
      <alignment horizontal="right" vertical="center"/>
    </xf>
    <xf numFmtId="3" fontId="21" fillId="0" borderId="63" xfId="0" applyNumberFormat="1" applyFont="1" applyBorder="1" applyAlignment="1">
      <alignment horizontal="right" vertical="center" wrapText="1"/>
    </xf>
    <xf numFmtId="3" fontId="21" fillId="0" borderId="29" xfId="0" applyNumberFormat="1" applyFont="1" applyBorder="1" applyAlignment="1">
      <alignment horizontal="right" vertical="center"/>
    </xf>
    <xf numFmtId="164" fontId="21" fillId="0" borderId="64" xfId="0" applyNumberFormat="1" applyFont="1" applyBorder="1" applyAlignment="1">
      <alignment horizontal="right" vertical="center"/>
    </xf>
    <xf numFmtId="3" fontId="21" fillId="0" borderId="32" xfId="0" applyNumberFormat="1" applyFont="1" applyBorder="1" applyAlignment="1">
      <alignment horizontal="right" vertical="center"/>
    </xf>
    <xf numFmtId="3" fontId="21" fillId="0" borderId="65" xfId="0" applyNumberFormat="1" applyFont="1" applyBorder="1" applyAlignment="1">
      <alignment horizontal="right" vertical="center" wrapText="1"/>
    </xf>
    <xf numFmtId="3" fontId="21" fillId="0" borderId="57" xfId="0" applyNumberFormat="1" applyFont="1" applyBorder="1" applyAlignment="1">
      <alignment horizontal="right" vertical="center"/>
    </xf>
    <xf numFmtId="3" fontId="21" fillId="0" borderId="28" xfId="0" applyNumberFormat="1" applyFont="1" applyBorder="1" applyAlignment="1">
      <alignment horizontal="right" vertical="center"/>
    </xf>
    <xf numFmtId="164" fontId="21" fillId="0" borderId="53" xfId="0" applyNumberFormat="1" applyFont="1" applyBorder="1" applyAlignment="1">
      <alignment horizontal="right" vertical="center"/>
    </xf>
    <xf numFmtId="164" fontId="21" fillId="0" borderId="55" xfId="0" applyNumberFormat="1" applyFont="1" applyBorder="1" applyAlignment="1">
      <alignment horizontal="right" vertical="center"/>
    </xf>
    <xf numFmtId="164" fontId="21" fillId="0" borderId="60" xfId="0" applyNumberFormat="1" applyFont="1" applyBorder="1" applyAlignment="1">
      <alignment horizontal="right" vertical="center"/>
    </xf>
    <xf numFmtId="164" fontId="21" fillId="0" borderId="56" xfId="0" applyNumberFormat="1" applyFont="1" applyBorder="1" applyAlignment="1">
      <alignment horizontal="right" vertical="center"/>
    </xf>
    <xf numFmtId="3" fontId="21" fillId="0" borderId="51" xfId="0" applyNumberFormat="1" applyFont="1" applyBorder="1" applyAlignment="1">
      <alignment horizontal="right" vertical="center"/>
    </xf>
    <xf numFmtId="3" fontId="21" fillId="0" borderId="52" xfId="0" applyNumberFormat="1" applyFont="1" applyBorder="1" applyAlignment="1">
      <alignment horizontal="right" vertical="center"/>
    </xf>
    <xf numFmtId="0" fontId="8" fillId="0" borderId="33" xfId="0" applyFont="1" applyBorder="1" applyAlignment="1">
      <alignment vertical="center"/>
    </xf>
    <xf numFmtId="0" fontId="8" fillId="0" borderId="33" xfId="0" applyFont="1" applyBorder="1" applyAlignment="1">
      <alignment vertical="center" wrapText="1"/>
    </xf>
    <xf numFmtId="0" fontId="8" fillId="0" borderId="101" xfId="0" applyFont="1" applyBorder="1" applyAlignment="1">
      <alignment vertical="center" wrapText="1"/>
    </xf>
    <xf numFmtId="164" fontId="8" fillId="0" borderId="19" xfId="0" applyNumberFormat="1" applyFont="1" applyBorder="1" applyAlignment="1">
      <alignment vertical="center"/>
    </xf>
    <xf numFmtId="3" fontId="8" fillId="0" borderId="37" xfId="0" applyNumberFormat="1" applyFont="1" applyFill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0" borderId="33" xfId="0" applyNumberFormat="1" applyBorder="1" applyAlignment="1">
      <alignment vertical="center"/>
    </xf>
    <xf numFmtId="3" fontId="0" fillId="0" borderId="96" xfId="0" applyNumberFormat="1" applyBorder="1" applyAlignment="1">
      <alignment vertical="center"/>
    </xf>
    <xf numFmtId="3" fontId="8" fillId="0" borderId="24" xfId="0" applyNumberFormat="1" applyFont="1" applyFill="1" applyBorder="1" applyAlignment="1">
      <alignment horizontal="right"/>
    </xf>
    <xf numFmtId="3" fontId="8" fillId="0" borderId="15" xfId="0" applyNumberFormat="1" applyFont="1" applyFill="1" applyBorder="1" applyAlignment="1">
      <alignment horizontal="right" vertical="center"/>
    </xf>
    <xf numFmtId="3" fontId="8" fillId="0" borderId="22" xfId="0" applyNumberFormat="1" applyFont="1" applyFill="1" applyBorder="1" applyAlignment="1">
      <alignment horizontal="right" vertical="center"/>
    </xf>
    <xf numFmtId="3" fontId="8" fillId="0" borderId="24" xfId="0" applyNumberFormat="1" applyFont="1" applyFill="1" applyBorder="1" applyAlignment="1">
      <alignment horizontal="right" vertical="center"/>
    </xf>
    <xf numFmtId="3" fontId="8" fillId="0" borderId="25" xfId="0" applyNumberFormat="1" applyFont="1" applyFill="1" applyBorder="1" applyAlignment="1">
      <alignment horizontal="right" vertical="center"/>
    </xf>
    <xf numFmtId="164" fontId="8" fillId="0" borderId="10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40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vertical="center"/>
    </xf>
    <xf numFmtId="164" fontId="0" fillId="0" borderId="32" xfId="0" applyNumberFormat="1" applyBorder="1" applyAlignment="1">
      <alignment vertical="center"/>
    </xf>
    <xf numFmtId="164" fontId="0" fillId="0" borderId="32" xfId="0" applyNumberFormat="1" applyBorder="1" applyAlignment="1">
      <alignment horizontal="right"/>
    </xf>
    <xf numFmtId="164" fontId="8" fillId="0" borderId="32" xfId="0" applyNumberFormat="1" applyFont="1" applyBorder="1" applyAlignment="1">
      <alignment vertical="center"/>
    </xf>
    <xf numFmtId="164" fontId="8" fillId="0" borderId="69" xfId="0" applyNumberFormat="1" applyFont="1" applyBorder="1" applyAlignment="1">
      <alignment vertical="center"/>
    </xf>
    <xf numFmtId="164" fontId="0" fillId="0" borderId="10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/>
    </xf>
    <xf numFmtId="164" fontId="4" fillId="0" borderId="55" xfId="0" applyNumberFormat="1" applyFont="1" applyBorder="1" applyAlignment="1">
      <alignment vertical="center"/>
    </xf>
    <xf numFmtId="164" fontId="21" fillId="0" borderId="45" xfId="0" applyNumberFormat="1" applyFont="1" applyBorder="1" applyAlignment="1">
      <alignment vertical="center"/>
    </xf>
    <xf numFmtId="3" fontId="8" fillId="0" borderId="2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45" xfId="0" applyNumberFormat="1" applyFont="1" applyFill="1" applyBorder="1" applyAlignment="1">
      <alignment horizontal="center" vertical="center"/>
    </xf>
    <xf numFmtId="1" fontId="3" fillId="0" borderId="47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1" fontId="3" fillId="0" borderId="41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64" fontId="4" fillId="0" borderId="49" xfId="0" applyNumberFormat="1" applyFont="1" applyBorder="1" applyAlignment="1">
      <alignment horizontal="center" vertical="center" wrapText="1"/>
    </xf>
    <xf numFmtId="164" fontId="4" fillId="0" borderId="51" xfId="0" applyNumberFormat="1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7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14" fillId="4" borderId="45" xfId="0" applyFont="1" applyFill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8" fillId="0" borderId="77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14" fillId="7" borderId="45" xfId="0" applyFont="1" applyFill="1" applyBorder="1" applyAlignment="1">
      <alignment horizontal="center" vertical="center"/>
    </xf>
    <xf numFmtId="0" fontId="14" fillId="7" borderId="46" xfId="0" applyFont="1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0" fillId="5" borderId="18" xfId="0" applyFont="1" applyFill="1" applyBorder="1" applyAlignment="1">
      <alignment vertical="center"/>
    </xf>
    <xf numFmtId="0" fontId="8" fillId="6" borderId="77" xfId="0" applyFont="1" applyFill="1" applyBorder="1" applyAlignment="1">
      <alignment horizontal="center" vertical="center"/>
    </xf>
    <xf numFmtId="0" fontId="8" fillId="6" borderId="78" xfId="0" applyFont="1" applyFill="1" applyBorder="1" applyAlignment="1">
      <alignment horizontal="center" vertical="center"/>
    </xf>
    <xf numFmtId="0" fontId="8" fillId="6" borderId="7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14" fillId="7" borderId="47" xfId="0" applyFont="1" applyFill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6" borderId="45" xfId="0" applyFont="1" applyFill="1" applyBorder="1" applyAlignment="1">
      <alignment horizontal="center" vertical="center"/>
    </xf>
    <xf numFmtId="0" fontId="20" fillId="6" borderId="46" xfId="0" applyFont="1" applyFill="1" applyBorder="1" applyAlignment="1">
      <alignment horizontal="center" vertical="center"/>
    </xf>
    <xf numFmtId="0" fontId="20" fillId="6" borderId="47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5" borderId="77" xfId="0" applyFont="1" applyFill="1" applyBorder="1" applyAlignment="1">
      <alignment horizontal="center" vertical="center"/>
    </xf>
    <xf numFmtId="0" fontId="8" fillId="5" borderId="78" xfId="0" applyFont="1" applyFill="1" applyBorder="1" applyAlignment="1">
      <alignment horizontal="center" vertical="center"/>
    </xf>
    <xf numFmtId="0" fontId="8" fillId="5" borderId="79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M25"/>
  <sheetViews>
    <sheetView tabSelected="1" zoomScaleNormal="100" workbookViewId="0">
      <selection activeCell="K13" sqref="K13"/>
    </sheetView>
  </sheetViews>
  <sheetFormatPr defaultColWidth="9.140625" defaultRowHeight="15" x14ac:dyDescent="0.25"/>
  <cols>
    <col min="1" max="1" width="14.85546875" style="1" customWidth="1"/>
    <col min="2" max="2" width="8.42578125" style="1" customWidth="1"/>
    <col min="3" max="3" width="12" style="1" customWidth="1"/>
    <col min="4" max="4" width="9.5703125" style="1" customWidth="1"/>
    <col min="5" max="5" width="9.28515625" style="1" customWidth="1"/>
    <col min="6" max="6" width="10.5703125" style="1" customWidth="1"/>
    <col min="7" max="7" width="11.140625" style="1" customWidth="1"/>
    <col min="8" max="8" width="9.140625" style="1"/>
    <col min="9" max="9" width="13.5703125" style="1" customWidth="1"/>
    <col min="10" max="10" width="10.140625" style="1" customWidth="1"/>
    <col min="11" max="11" width="9.5703125" style="1" bestFit="1" customWidth="1"/>
    <col min="12" max="12" width="10.5703125" style="1" customWidth="1"/>
    <col min="13" max="13" width="12.42578125" style="1" customWidth="1"/>
    <col min="14" max="16384" width="9.140625" style="1"/>
  </cols>
  <sheetData>
    <row r="2" spans="1:13" x14ac:dyDescent="0.25">
      <c r="A2" s="3" t="s">
        <v>0</v>
      </c>
      <c r="C2" s="5"/>
      <c r="E2" s="4"/>
    </row>
    <row r="3" spans="1:13" ht="14.45" x14ac:dyDescent="0.3">
      <c r="A3" s="178" t="s">
        <v>1</v>
      </c>
      <c r="B3" s="178"/>
      <c r="C3" s="178"/>
      <c r="D3" s="178"/>
      <c r="E3" s="178"/>
      <c r="F3" s="178"/>
      <c r="G3" s="178"/>
      <c r="H3" s="178"/>
    </row>
    <row r="4" spans="1:13" thickBot="1" x14ac:dyDescent="0.35"/>
    <row r="5" spans="1:13" ht="15" customHeight="1" x14ac:dyDescent="0.25">
      <c r="A5" s="423" t="s">
        <v>2</v>
      </c>
      <c r="B5" s="425">
        <v>2017</v>
      </c>
      <c r="C5" s="426"/>
      <c r="D5" s="426"/>
      <c r="E5" s="426"/>
      <c r="F5" s="426"/>
      <c r="G5" s="427"/>
      <c r="H5" s="425">
        <v>2018</v>
      </c>
      <c r="I5" s="426"/>
      <c r="J5" s="426"/>
      <c r="K5" s="426"/>
      <c r="L5" s="426"/>
      <c r="M5" s="427"/>
    </row>
    <row r="6" spans="1:13" ht="34.5" thickBot="1" x14ac:dyDescent="0.3">
      <c r="A6" s="424"/>
      <c r="B6" s="7" t="s">
        <v>96</v>
      </c>
      <c r="C6" s="8" t="s">
        <v>3</v>
      </c>
      <c r="D6" s="8" t="s">
        <v>4</v>
      </c>
      <c r="E6" s="8" t="s">
        <v>5</v>
      </c>
      <c r="F6" s="8" t="s">
        <v>6</v>
      </c>
      <c r="G6" s="9" t="s">
        <v>7</v>
      </c>
      <c r="H6" s="7" t="s">
        <v>112</v>
      </c>
      <c r="I6" s="8" t="s">
        <v>3</v>
      </c>
      <c r="J6" s="8" t="s">
        <v>4</v>
      </c>
      <c r="K6" s="8" t="s">
        <v>5</v>
      </c>
      <c r="L6" s="8" t="s">
        <v>6</v>
      </c>
      <c r="M6" s="9" t="s">
        <v>7</v>
      </c>
    </row>
    <row r="7" spans="1:13" ht="15.75" thickTop="1" x14ac:dyDescent="0.25">
      <c r="A7" s="10" t="s">
        <v>113</v>
      </c>
      <c r="B7" s="11">
        <v>471</v>
      </c>
      <c r="C7" s="12">
        <v>60992617</v>
      </c>
      <c r="D7" s="13">
        <v>6424400</v>
      </c>
      <c r="E7" s="12">
        <v>116000</v>
      </c>
      <c r="F7" s="12">
        <v>2865995</v>
      </c>
      <c r="G7" s="14">
        <f>C7+D7+E7+F7</f>
        <v>70399012</v>
      </c>
      <c r="H7" s="11">
        <v>471</v>
      </c>
      <c r="I7" s="12">
        <v>71147254</v>
      </c>
      <c r="J7" s="13">
        <v>6442688</v>
      </c>
      <c r="K7" s="12">
        <v>1605000</v>
      </c>
      <c r="L7" s="12">
        <v>1307925</v>
      </c>
      <c r="M7" s="14">
        <f>I7+J7+K7+L7</f>
        <v>80502867</v>
      </c>
    </row>
    <row r="8" spans="1:13" x14ac:dyDescent="0.25">
      <c r="A8" s="15" t="s">
        <v>82</v>
      </c>
      <c r="B8" s="16">
        <v>10098</v>
      </c>
      <c r="C8" s="17">
        <v>596349140</v>
      </c>
      <c r="D8" s="18">
        <v>177737398</v>
      </c>
      <c r="E8" s="17">
        <v>34716588</v>
      </c>
      <c r="F8" s="17">
        <v>31343682</v>
      </c>
      <c r="G8" s="14">
        <f t="shared" ref="G8:G14" si="0">SUM(C8:F8)</f>
        <v>840146808</v>
      </c>
      <c r="H8" s="16">
        <v>9855</v>
      </c>
      <c r="I8" s="17">
        <v>673666206</v>
      </c>
      <c r="J8" s="18">
        <v>178665633</v>
      </c>
      <c r="K8" s="17">
        <v>69200621</v>
      </c>
      <c r="L8" s="17">
        <v>14293837</v>
      </c>
      <c r="M8" s="14">
        <f t="shared" ref="M8:M14" si="1">I8+J8+K8+L8</f>
        <v>935826297</v>
      </c>
    </row>
    <row r="9" spans="1:13" ht="14.45" x14ac:dyDescent="0.3">
      <c r="A9" s="19" t="s">
        <v>11</v>
      </c>
      <c r="B9" s="16">
        <v>197</v>
      </c>
      <c r="C9" s="17">
        <v>62998921</v>
      </c>
      <c r="D9" s="18">
        <v>20366800</v>
      </c>
      <c r="E9" s="17">
        <v>2150000</v>
      </c>
      <c r="F9" s="17">
        <v>1796713</v>
      </c>
      <c r="G9" s="14">
        <f t="shared" si="0"/>
        <v>87312434</v>
      </c>
      <c r="H9" s="16">
        <v>211</v>
      </c>
      <c r="I9" s="17">
        <v>71840852</v>
      </c>
      <c r="J9" s="18">
        <v>20573500</v>
      </c>
      <c r="K9" s="17">
        <v>1700000</v>
      </c>
      <c r="L9" s="17">
        <v>0</v>
      </c>
      <c r="M9" s="14">
        <f t="shared" si="1"/>
        <v>94114352</v>
      </c>
    </row>
    <row r="10" spans="1:13" ht="14.45" x14ac:dyDescent="0.3">
      <c r="A10" s="19" t="s">
        <v>12</v>
      </c>
      <c r="B10" s="16">
        <v>975</v>
      </c>
      <c r="C10" s="17">
        <v>29128076</v>
      </c>
      <c r="D10" s="18">
        <v>7076000</v>
      </c>
      <c r="E10" s="17">
        <v>480000</v>
      </c>
      <c r="F10" s="17">
        <v>1072402</v>
      </c>
      <c r="G10" s="14">
        <f t="shared" si="0"/>
        <v>37756478</v>
      </c>
      <c r="H10" s="16">
        <v>1000</v>
      </c>
      <c r="I10" s="17">
        <v>34663643</v>
      </c>
      <c r="J10" s="18">
        <v>7706000</v>
      </c>
      <c r="K10" s="17">
        <v>20527600</v>
      </c>
      <c r="L10" s="17">
        <v>0</v>
      </c>
      <c r="M10" s="14">
        <f t="shared" si="1"/>
        <v>62897243</v>
      </c>
    </row>
    <row r="11" spans="1:13" x14ac:dyDescent="0.25">
      <c r="A11" s="19" t="s">
        <v>13</v>
      </c>
      <c r="B11" s="16">
        <v>1352</v>
      </c>
      <c r="C11" s="17">
        <v>22630639</v>
      </c>
      <c r="D11" s="18">
        <v>759128</v>
      </c>
      <c r="E11" s="17">
        <v>54000</v>
      </c>
      <c r="F11" s="17">
        <v>500738</v>
      </c>
      <c r="G11" s="14">
        <f t="shared" si="0"/>
        <v>23944505</v>
      </c>
      <c r="H11" s="16">
        <v>1196</v>
      </c>
      <c r="I11" s="17">
        <v>12782642</v>
      </c>
      <c r="J11" s="18">
        <v>539902</v>
      </c>
      <c r="K11" s="17">
        <v>44000</v>
      </c>
      <c r="L11" s="17">
        <v>0</v>
      </c>
      <c r="M11" s="14">
        <f t="shared" si="1"/>
        <v>13366544</v>
      </c>
    </row>
    <row r="12" spans="1:13" ht="14.45" x14ac:dyDescent="0.3">
      <c r="A12" s="19" t="s">
        <v>14</v>
      </c>
      <c r="B12" s="16">
        <v>6871</v>
      </c>
      <c r="C12" s="17">
        <v>14484244</v>
      </c>
      <c r="D12" s="18">
        <v>2697000</v>
      </c>
      <c r="E12" s="17">
        <v>362319</v>
      </c>
      <c r="F12" s="17">
        <v>2648359</v>
      </c>
      <c r="G12" s="14">
        <f t="shared" si="0"/>
        <v>20191922</v>
      </c>
      <c r="H12" s="16">
        <v>5837</v>
      </c>
      <c r="I12" s="17">
        <v>17302557</v>
      </c>
      <c r="J12" s="18">
        <v>2886000</v>
      </c>
      <c r="K12" s="17">
        <v>1700000</v>
      </c>
      <c r="L12" s="17">
        <v>2582363</v>
      </c>
      <c r="M12" s="14">
        <f t="shared" si="1"/>
        <v>24470920</v>
      </c>
    </row>
    <row r="13" spans="1:13" ht="14.45" x14ac:dyDescent="0.3">
      <c r="A13" s="19" t="s">
        <v>15</v>
      </c>
      <c r="B13" s="16">
        <v>395</v>
      </c>
      <c r="C13" s="17">
        <v>1192343</v>
      </c>
      <c r="D13" s="18">
        <v>1160336</v>
      </c>
      <c r="E13" s="17">
        <v>0</v>
      </c>
      <c r="F13" s="17">
        <v>856475</v>
      </c>
      <c r="G13" s="14">
        <f t="shared" si="0"/>
        <v>3209154</v>
      </c>
      <c r="H13" s="16">
        <v>0</v>
      </c>
      <c r="I13" s="17">
        <v>0</v>
      </c>
      <c r="J13" s="18">
        <v>0</v>
      </c>
      <c r="K13" s="17">
        <v>0</v>
      </c>
      <c r="L13" s="17">
        <v>0</v>
      </c>
      <c r="M13" s="14">
        <f t="shared" si="1"/>
        <v>0</v>
      </c>
    </row>
    <row r="14" spans="1:13" ht="15.75" thickBot="1" x14ac:dyDescent="0.3">
      <c r="A14" s="20" t="s">
        <v>16</v>
      </c>
      <c r="B14" s="21">
        <v>3404</v>
      </c>
      <c r="C14" s="22">
        <v>0</v>
      </c>
      <c r="D14" s="22">
        <v>1900000</v>
      </c>
      <c r="E14" s="22">
        <v>0</v>
      </c>
      <c r="F14" s="22">
        <v>0</v>
      </c>
      <c r="G14" s="23">
        <f t="shared" si="0"/>
        <v>1900000</v>
      </c>
      <c r="H14" s="21">
        <v>3277</v>
      </c>
      <c r="I14" s="22">
        <v>0</v>
      </c>
      <c r="J14" s="22">
        <v>2906000</v>
      </c>
      <c r="K14" s="22">
        <v>2790000</v>
      </c>
      <c r="L14" s="22">
        <v>0</v>
      </c>
      <c r="M14" s="23">
        <f t="shared" si="1"/>
        <v>5696000</v>
      </c>
    </row>
    <row r="15" spans="1:13" ht="15.6" thickTop="1" thickBot="1" x14ac:dyDescent="0.35">
      <c r="A15" s="24" t="s">
        <v>17</v>
      </c>
      <c r="B15" s="25">
        <f t="shared" ref="B15:F15" si="2">SUM(B7:B14)</f>
        <v>23763</v>
      </c>
      <c r="C15" s="26">
        <f t="shared" si="2"/>
        <v>787775980</v>
      </c>
      <c r="D15" s="27">
        <f t="shared" si="2"/>
        <v>218121062</v>
      </c>
      <c r="E15" s="28">
        <f>SUM(E7:E14)</f>
        <v>37878907</v>
      </c>
      <c r="F15" s="28">
        <f t="shared" si="2"/>
        <v>41084364</v>
      </c>
      <c r="G15" s="29">
        <f>SUM(C15:F15)</f>
        <v>1084860313</v>
      </c>
      <c r="H15" s="282">
        <f>SUM(H7:H14)</f>
        <v>21847</v>
      </c>
      <c r="I15" s="283">
        <f t="shared" ref="I15:M15" si="3">SUM(I7:I14)</f>
        <v>881403154</v>
      </c>
      <c r="J15" s="283">
        <f t="shared" si="3"/>
        <v>219719723</v>
      </c>
      <c r="K15" s="283">
        <f t="shared" si="3"/>
        <v>97567221</v>
      </c>
      <c r="L15" s="283">
        <f t="shared" si="3"/>
        <v>18184125</v>
      </c>
      <c r="M15" s="29">
        <f t="shared" si="3"/>
        <v>1216874223</v>
      </c>
    </row>
    <row r="16" spans="1:13" ht="14.45" x14ac:dyDescent="0.3">
      <c r="B16" s="165"/>
      <c r="C16" s="165"/>
      <c r="D16" s="165"/>
      <c r="E16" s="5"/>
      <c r="G16" s="166"/>
    </row>
    <row r="17" spans="1:7" ht="14.45" x14ac:dyDescent="0.3">
      <c r="A17" s="2"/>
      <c r="B17" s="68"/>
      <c r="C17" s="207"/>
      <c r="D17" s="208"/>
      <c r="E17" s="206"/>
      <c r="F17" s="215"/>
      <c r="G17" s="5"/>
    </row>
    <row r="18" spans="1:7" ht="14.45" x14ac:dyDescent="0.3">
      <c r="C18" s="68"/>
      <c r="F18" s="215"/>
    </row>
    <row r="19" spans="1:7" ht="14.45" x14ac:dyDescent="0.3">
      <c r="A19" s="68"/>
      <c r="C19" s="68"/>
      <c r="D19" s="175"/>
      <c r="E19" s="175"/>
      <c r="F19" s="215"/>
    </row>
    <row r="20" spans="1:7" ht="14.45" x14ac:dyDescent="0.3">
      <c r="D20" s="175"/>
      <c r="E20" s="175"/>
      <c r="F20" s="215"/>
    </row>
    <row r="21" spans="1:7" ht="14.45" x14ac:dyDescent="0.3">
      <c r="C21" s="216"/>
      <c r="F21" s="215"/>
    </row>
    <row r="22" spans="1:7" ht="14.45" x14ac:dyDescent="0.3">
      <c r="C22" s="68"/>
      <c r="F22" s="215"/>
    </row>
    <row r="23" spans="1:7" ht="14.45" x14ac:dyDescent="0.3">
      <c r="F23" s="215"/>
    </row>
    <row r="24" spans="1:7" ht="14.45" x14ac:dyDescent="0.3">
      <c r="F24" s="215"/>
    </row>
    <row r="25" spans="1:7" ht="14.45" x14ac:dyDescent="0.3">
      <c r="C25" s="155"/>
    </row>
  </sheetData>
  <mergeCells count="3">
    <mergeCell ref="A5:A6"/>
    <mergeCell ref="B5:G5"/>
    <mergeCell ref="H5:M5"/>
  </mergeCells>
  <pageMargins left="0.32" right="0.2" top="0.78740157499999996" bottom="0.78740157499999996" header="0.3" footer="0.3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I20" sqref="I20"/>
    </sheetView>
  </sheetViews>
  <sheetFormatPr defaultColWidth="9.140625" defaultRowHeight="15" x14ac:dyDescent="0.25"/>
  <cols>
    <col min="1" max="2" width="10.140625" style="1" customWidth="1"/>
    <col min="3" max="3" width="9.5703125" style="1" customWidth="1"/>
    <col min="4" max="4" width="12.28515625" style="1" customWidth="1"/>
    <col min="5" max="5" width="11.85546875" style="1" bestFit="1" customWidth="1"/>
    <col min="6" max="6" width="10.85546875" style="1" bestFit="1" customWidth="1"/>
    <col min="7" max="7" width="11.28515625" style="1" bestFit="1" customWidth="1"/>
    <col min="8" max="8" width="9.42578125" style="1" customWidth="1"/>
    <col min="9" max="9" width="10.28515625" style="1" bestFit="1" customWidth="1"/>
    <col min="10" max="10" width="10" style="1" bestFit="1" customWidth="1"/>
    <col min="11" max="11" width="10" style="1" customWidth="1"/>
    <col min="12" max="12" width="9.42578125" style="1" customWidth="1"/>
    <col min="13" max="14" width="9.28515625" style="1" bestFit="1" customWidth="1"/>
    <col min="15" max="16" width="10.85546875" style="1" bestFit="1" customWidth="1"/>
    <col min="17" max="16384" width="9.140625" style="1"/>
  </cols>
  <sheetData>
    <row r="1" spans="1:16" ht="14.45" x14ac:dyDescent="0.3">
      <c r="H1" s="68"/>
      <c r="I1" s="68"/>
      <c r="J1" s="68"/>
      <c r="K1" s="68"/>
    </row>
    <row r="2" spans="1:16" ht="14.45" x14ac:dyDescent="0.3">
      <c r="H2" s="68"/>
      <c r="I2" s="68"/>
      <c r="J2" s="68"/>
      <c r="K2" s="68"/>
    </row>
    <row r="3" spans="1:16" ht="33.75" customHeight="1" x14ac:dyDescent="0.25">
      <c r="A3" s="465" t="s">
        <v>101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</row>
    <row r="4" spans="1:16" thickBot="1" x14ac:dyDescent="0.35">
      <c r="A4" s="100"/>
      <c r="B4" s="100"/>
      <c r="C4" s="100"/>
      <c r="D4" s="100"/>
      <c r="E4" s="101"/>
      <c r="F4" s="101"/>
      <c r="G4" s="101"/>
      <c r="H4" s="101"/>
      <c r="I4" s="101"/>
      <c r="J4" s="101"/>
      <c r="K4" s="101"/>
      <c r="L4" s="101"/>
      <c r="M4" s="102"/>
      <c r="N4" s="102"/>
    </row>
    <row r="5" spans="1:16" ht="15.75" thickBot="1" x14ac:dyDescent="0.3">
      <c r="A5" s="439" t="s">
        <v>102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1"/>
    </row>
    <row r="6" spans="1:16" ht="15" customHeight="1" x14ac:dyDescent="0.25">
      <c r="A6" s="453" t="s">
        <v>36</v>
      </c>
      <c r="B6" s="455" t="s">
        <v>37</v>
      </c>
      <c r="C6" s="463" t="s">
        <v>58</v>
      </c>
      <c r="D6" s="466" t="s">
        <v>39</v>
      </c>
      <c r="E6" s="457" t="s">
        <v>40</v>
      </c>
      <c r="F6" s="458"/>
      <c r="G6" s="458"/>
      <c r="H6" s="458"/>
      <c r="I6" s="458"/>
      <c r="J6" s="458"/>
      <c r="K6" s="458"/>
      <c r="L6" s="458"/>
      <c r="M6" s="458"/>
      <c r="N6" s="459"/>
    </row>
    <row r="7" spans="1:16" ht="45.75" thickBot="1" x14ac:dyDescent="0.3">
      <c r="A7" s="454"/>
      <c r="B7" s="456"/>
      <c r="C7" s="464"/>
      <c r="D7" s="467"/>
      <c r="E7" s="290" t="s">
        <v>42</v>
      </c>
      <c r="F7" s="291" t="s">
        <v>43</v>
      </c>
      <c r="G7" s="291" t="s">
        <v>44</v>
      </c>
      <c r="H7" s="291" t="s">
        <v>45</v>
      </c>
      <c r="I7" s="291" t="s">
        <v>46</v>
      </c>
      <c r="J7" s="291" t="s">
        <v>47</v>
      </c>
      <c r="K7" s="291" t="s">
        <v>76</v>
      </c>
      <c r="L7" s="86" t="s">
        <v>48</v>
      </c>
      <c r="M7" s="291" t="s">
        <v>49</v>
      </c>
      <c r="N7" s="87" t="s">
        <v>50</v>
      </c>
    </row>
    <row r="8" spans="1:16" ht="15.75" thickTop="1" x14ac:dyDescent="0.25">
      <c r="A8" s="88" t="s">
        <v>79</v>
      </c>
      <c r="B8" s="322">
        <v>896.03779999999995</v>
      </c>
      <c r="C8" s="323">
        <v>388859576</v>
      </c>
      <c r="D8" s="326">
        <f>C8/B8/12</f>
        <v>36164.729508807184</v>
      </c>
      <c r="E8" s="325">
        <v>261290934</v>
      </c>
      <c r="F8" s="323">
        <v>73667728</v>
      </c>
      <c r="G8" s="323">
        <v>13214170</v>
      </c>
      <c r="H8" s="323">
        <v>18792609</v>
      </c>
      <c r="I8" s="323">
        <v>6440243</v>
      </c>
      <c r="J8" s="323">
        <v>3952680</v>
      </c>
      <c r="K8" s="323">
        <v>630872</v>
      </c>
      <c r="L8" s="323">
        <v>10351568</v>
      </c>
      <c r="M8" s="324">
        <v>359020</v>
      </c>
      <c r="N8" s="368">
        <v>159752</v>
      </c>
      <c r="O8" s="68"/>
      <c r="P8" s="68"/>
    </row>
    <row r="9" spans="1:16" x14ac:dyDescent="0.25">
      <c r="A9" s="89" t="s">
        <v>10</v>
      </c>
      <c r="B9" s="343">
        <v>23.047499999999999</v>
      </c>
      <c r="C9" s="323">
        <v>10317993</v>
      </c>
      <c r="D9" s="326">
        <f t="shared" ref="D9:D16" si="0">C9/B9/12</f>
        <v>37306.985573272592</v>
      </c>
      <c r="E9" s="346">
        <v>6937147</v>
      </c>
      <c r="F9" s="344">
        <v>2007321</v>
      </c>
      <c r="G9" s="344">
        <v>335045</v>
      </c>
      <c r="H9" s="344">
        <v>504320</v>
      </c>
      <c r="I9" s="344">
        <v>295039</v>
      </c>
      <c r="J9" s="344">
        <v>80872</v>
      </c>
      <c r="K9" s="344">
        <v>0</v>
      </c>
      <c r="L9" s="344">
        <v>150036</v>
      </c>
      <c r="M9" s="345">
        <v>7914</v>
      </c>
      <c r="N9" s="347">
        <v>299</v>
      </c>
      <c r="O9" s="68"/>
      <c r="P9" s="68"/>
    </row>
    <row r="10" spans="1:16" ht="22.5" x14ac:dyDescent="0.25">
      <c r="A10" s="89" t="s">
        <v>87</v>
      </c>
      <c r="B10" s="343">
        <v>82.964200000000005</v>
      </c>
      <c r="C10" s="323">
        <v>32910744</v>
      </c>
      <c r="D10" s="326">
        <f t="shared" si="0"/>
        <v>33057.174058208235</v>
      </c>
      <c r="E10" s="346">
        <v>22069089</v>
      </c>
      <c r="F10" s="344">
        <v>6027514</v>
      </c>
      <c r="G10" s="344">
        <v>1621841</v>
      </c>
      <c r="H10" s="344">
        <v>1484074</v>
      </c>
      <c r="I10" s="344">
        <v>646427</v>
      </c>
      <c r="J10" s="344">
        <v>974176</v>
      </c>
      <c r="K10" s="344">
        <v>58124</v>
      </c>
      <c r="L10" s="344">
        <v>10604</v>
      </c>
      <c r="M10" s="345">
        <v>11292</v>
      </c>
      <c r="N10" s="347">
        <v>7603</v>
      </c>
      <c r="O10" s="68"/>
      <c r="P10" s="68"/>
    </row>
    <row r="11" spans="1:16" x14ac:dyDescent="0.25">
      <c r="A11" s="89" t="s">
        <v>25</v>
      </c>
      <c r="B11" s="343">
        <v>13.033799999999999</v>
      </c>
      <c r="C11" s="323">
        <v>4044283</v>
      </c>
      <c r="D11" s="326">
        <f t="shared" si="0"/>
        <v>25857.66110676344</v>
      </c>
      <c r="E11" s="346">
        <v>2929140</v>
      </c>
      <c r="F11" s="344">
        <v>721049</v>
      </c>
      <c r="G11" s="344">
        <v>125688</v>
      </c>
      <c r="H11" s="344">
        <v>120700</v>
      </c>
      <c r="I11" s="344">
        <v>40018</v>
      </c>
      <c r="J11" s="344">
        <v>87782</v>
      </c>
      <c r="K11" s="344">
        <v>0</v>
      </c>
      <c r="L11" s="344">
        <v>0</v>
      </c>
      <c r="M11" s="345">
        <v>0</v>
      </c>
      <c r="N11" s="347">
        <v>19906</v>
      </c>
      <c r="O11" s="68"/>
      <c r="P11" s="68"/>
    </row>
    <row r="12" spans="1:16" x14ac:dyDescent="0.25">
      <c r="A12" s="90" t="s">
        <v>26</v>
      </c>
      <c r="B12" s="369">
        <v>0</v>
      </c>
      <c r="C12" s="323">
        <f t="shared" ref="C12" si="1">SUM(E12:N12)</f>
        <v>0</v>
      </c>
      <c r="D12" s="326">
        <v>0</v>
      </c>
      <c r="E12" s="370">
        <v>0</v>
      </c>
      <c r="F12" s="371">
        <v>0</v>
      </c>
      <c r="G12" s="371">
        <v>0</v>
      </c>
      <c r="H12" s="371">
        <v>0</v>
      </c>
      <c r="I12" s="371">
        <v>0</v>
      </c>
      <c r="J12" s="371">
        <v>0</v>
      </c>
      <c r="K12" s="371">
        <v>0</v>
      </c>
      <c r="L12" s="371">
        <v>0</v>
      </c>
      <c r="M12" s="372">
        <v>0</v>
      </c>
      <c r="N12" s="373">
        <v>0</v>
      </c>
    </row>
    <row r="13" spans="1:16" ht="14.45" x14ac:dyDescent="0.3">
      <c r="A13" s="94" t="s">
        <v>11</v>
      </c>
      <c r="B13" s="369">
        <v>77.544600000000003</v>
      </c>
      <c r="C13" s="323">
        <v>30884353</v>
      </c>
      <c r="D13" s="326">
        <f t="shared" si="0"/>
        <v>33189.881478959636</v>
      </c>
      <c r="E13" s="370">
        <v>18795813</v>
      </c>
      <c r="F13" s="374">
        <v>5919157</v>
      </c>
      <c r="G13" s="374">
        <v>1110122</v>
      </c>
      <c r="H13" s="374">
        <v>1194821</v>
      </c>
      <c r="I13" s="374">
        <v>1005370</v>
      </c>
      <c r="J13" s="374">
        <v>551774</v>
      </c>
      <c r="K13" s="374">
        <v>0</v>
      </c>
      <c r="L13" s="374">
        <v>0</v>
      </c>
      <c r="M13" s="375">
        <v>125128</v>
      </c>
      <c r="N13" s="373">
        <v>2182168</v>
      </c>
      <c r="O13" s="68"/>
      <c r="P13" s="68"/>
    </row>
    <row r="14" spans="1:16" x14ac:dyDescent="0.25">
      <c r="A14" s="94" t="s">
        <v>8</v>
      </c>
      <c r="B14" s="343">
        <v>11.729699999999999</v>
      </c>
      <c r="C14" s="344">
        <v>3546181</v>
      </c>
      <c r="D14" s="347">
        <f t="shared" si="0"/>
        <v>25193.746074778839</v>
      </c>
      <c r="E14" s="370">
        <v>2536574</v>
      </c>
      <c r="F14" s="374">
        <v>696511</v>
      </c>
      <c r="G14" s="374">
        <v>143753</v>
      </c>
      <c r="H14" s="374">
        <v>84000</v>
      </c>
      <c r="I14" s="374">
        <v>0</v>
      </c>
      <c r="J14" s="374">
        <v>73456</v>
      </c>
      <c r="K14" s="374">
        <v>11820</v>
      </c>
      <c r="L14" s="374">
        <v>0</v>
      </c>
      <c r="M14" s="375">
        <v>0</v>
      </c>
      <c r="N14" s="373">
        <v>67</v>
      </c>
      <c r="P14" s="68"/>
    </row>
    <row r="15" spans="1:16" ht="22.5" x14ac:dyDescent="0.25">
      <c r="A15" s="94" t="s">
        <v>88</v>
      </c>
      <c r="B15" s="343">
        <v>12.500999999999999</v>
      </c>
      <c r="C15" s="344">
        <v>5754049</v>
      </c>
      <c r="D15" s="347">
        <f t="shared" si="0"/>
        <v>38357.258086019785</v>
      </c>
      <c r="E15" s="370">
        <v>3806240</v>
      </c>
      <c r="F15" s="374">
        <v>986446</v>
      </c>
      <c r="G15" s="374">
        <v>310631</v>
      </c>
      <c r="H15" s="374">
        <v>395000</v>
      </c>
      <c r="I15" s="374">
        <v>145023</v>
      </c>
      <c r="J15" s="374">
        <v>110709</v>
      </c>
      <c r="K15" s="374">
        <v>0</v>
      </c>
      <c r="L15" s="374">
        <v>0</v>
      </c>
      <c r="M15" s="375">
        <v>0</v>
      </c>
      <c r="N15" s="373">
        <v>0</v>
      </c>
      <c r="O15" s="68"/>
      <c r="P15" s="68"/>
    </row>
    <row r="16" spans="1:16" ht="23.25" thickBot="1" x14ac:dyDescent="0.3">
      <c r="A16" s="91" t="s">
        <v>55</v>
      </c>
      <c r="B16" s="337">
        <v>102.34229999999999</v>
      </c>
      <c r="C16" s="335">
        <v>39746961</v>
      </c>
      <c r="D16" s="338">
        <f t="shared" si="0"/>
        <v>32364.396246713237</v>
      </c>
      <c r="E16" s="337">
        <v>29097980</v>
      </c>
      <c r="F16" s="335">
        <v>6082581</v>
      </c>
      <c r="G16" s="335">
        <v>1408782</v>
      </c>
      <c r="H16" s="335">
        <v>1490951</v>
      </c>
      <c r="I16" s="335">
        <v>1023055</v>
      </c>
      <c r="J16" s="335">
        <v>23106</v>
      </c>
      <c r="K16" s="335">
        <v>0</v>
      </c>
      <c r="L16" s="335">
        <v>86701</v>
      </c>
      <c r="M16" s="336">
        <v>34045</v>
      </c>
      <c r="N16" s="338">
        <v>499760</v>
      </c>
      <c r="P16" s="68"/>
    </row>
    <row r="17" spans="1:15" ht="15.6" thickTop="1" thickBot="1" x14ac:dyDescent="0.35">
      <c r="A17" s="104" t="s">
        <v>52</v>
      </c>
      <c r="B17" s="340">
        <f>SUM(B8:B16)</f>
        <v>1219.2009</v>
      </c>
      <c r="C17" s="26">
        <f>SUM(C8:C16)</f>
        <v>516064140</v>
      </c>
      <c r="D17" s="376">
        <f>C17/B17/12</f>
        <v>35273.38685527545</v>
      </c>
      <c r="E17" s="25">
        <f>SUM(E8:E16)</f>
        <v>347462917</v>
      </c>
      <c r="F17" s="377">
        <f t="shared" ref="F17:N17" si="2">SUM(F8:F16)</f>
        <v>96108307</v>
      </c>
      <c r="G17" s="377">
        <f t="shared" si="2"/>
        <v>18270032</v>
      </c>
      <c r="H17" s="377">
        <f t="shared" si="2"/>
        <v>24066475</v>
      </c>
      <c r="I17" s="377">
        <f t="shared" si="2"/>
        <v>9595175</v>
      </c>
      <c r="J17" s="377">
        <f t="shared" si="2"/>
        <v>5854555</v>
      </c>
      <c r="K17" s="377">
        <f t="shared" si="2"/>
        <v>700816</v>
      </c>
      <c r="L17" s="377">
        <f t="shared" si="2"/>
        <v>10598909</v>
      </c>
      <c r="M17" s="378">
        <f t="shared" si="2"/>
        <v>537399</v>
      </c>
      <c r="N17" s="379">
        <f t="shared" si="2"/>
        <v>2869555</v>
      </c>
      <c r="O17" s="68"/>
    </row>
    <row r="18" spans="1:15" ht="14.45" x14ac:dyDescent="0.3">
      <c r="A18" s="160"/>
      <c r="B18" s="205"/>
      <c r="C18" s="220"/>
      <c r="D18" s="160"/>
      <c r="E18" s="160"/>
      <c r="F18" s="160"/>
      <c r="G18" s="160"/>
      <c r="H18" s="160"/>
      <c r="I18" s="160"/>
      <c r="J18" s="160"/>
      <c r="K18" s="160"/>
      <c r="L18" s="160"/>
      <c r="M18" s="160"/>
    </row>
    <row r="19" spans="1:15" ht="23.25" customHeight="1" x14ac:dyDescent="0.3">
      <c r="B19" s="84" t="s">
        <v>1</v>
      </c>
    </row>
    <row r="21" spans="1:15" ht="14.45" x14ac:dyDescent="0.3">
      <c r="D21" s="84"/>
    </row>
    <row r="22" spans="1:15" ht="14.45" x14ac:dyDescent="0.3">
      <c r="D22" s="84"/>
    </row>
    <row r="23" spans="1:15" ht="14.45" x14ac:dyDescent="0.3">
      <c r="D23" s="84"/>
    </row>
    <row r="24" spans="1:15" ht="14.45" x14ac:dyDescent="0.3">
      <c r="D24" s="84"/>
    </row>
    <row r="25" spans="1:15" ht="14.45" x14ac:dyDescent="0.3">
      <c r="D25" s="84"/>
    </row>
    <row r="26" spans="1:15" ht="14.45" x14ac:dyDescent="0.3">
      <c r="D26" s="84"/>
    </row>
    <row r="27" spans="1:15" ht="14.45" x14ac:dyDescent="0.3">
      <c r="D27" s="84"/>
    </row>
    <row r="28" spans="1:15" ht="14.45" x14ac:dyDescent="0.3">
      <c r="D28" s="84"/>
    </row>
    <row r="29" spans="1:15" ht="14.45" x14ac:dyDescent="0.3">
      <c r="D29" s="84"/>
    </row>
    <row r="30" spans="1:15" ht="14.45" x14ac:dyDescent="0.3">
      <c r="D30" s="84"/>
    </row>
    <row r="31" spans="1:15" ht="14.45" x14ac:dyDescent="0.3">
      <c r="D31" s="84"/>
    </row>
    <row r="32" spans="1:15" ht="14.45" x14ac:dyDescent="0.3">
      <c r="D32" s="84"/>
    </row>
    <row r="33" spans="4:4" ht="14.45" x14ac:dyDescent="0.3">
      <c r="D33" s="84"/>
    </row>
    <row r="34" spans="4:4" ht="14.45" x14ac:dyDescent="0.3">
      <c r="D34" s="84"/>
    </row>
    <row r="35" spans="4:4" ht="14.45" x14ac:dyDescent="0.3">
      <c r="D35" s="84"/>
    </row>
    <row r="36" spans="4:4" ht="14.45" x14ac:dyDescent="0.3">
      <c r="D36" s="84"/>
    </row>
    <row r="37" spans="4:4" ht="14.45" x14ac:dyDescent="0.3">
      <c r="D37" s="84"/>
    </row>
    <row r="38" spans="4:4" ht="14.45" x14ac:dyDescent="0.3">
      <c r="D38" s="84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19685039370078741" right="0.19685039370078741" top="0.78740157480314965" bottom="0.78740157480314965" header="0.31496062992125984" footer="0.31496062992125984"/>
  <pageSetup paperSize="9" scale="9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E19" sqref="E19"/>
    </sheetView>
  </sheetViews>
  <sheetFormatPr defaultRowHeight="15" x14ac:dyDescent="0.25"/>
  <cols>
    <col min="1" max="2" width="10.140625" customWidth="1"/>
    <col min="3" max="3" width="10.5703125" customWidth="1"/>
    <col min="4" max="4" width="12.7109375" customWidth="1"/>
    <col min="5" max="5" width="11.140625" customWidth="1"/>
    <col min="6" max="6" width="10.85546875" customWidth="1"/>
    <col min="7" max="7" width="9.28515625" customWidth="1"/>
    <col min="8" max="8" width="9.42578125" customWidth="1"/>
    <col min="9" max="9" width="9.140625" customWidth="1"/>
    <col min="10" max="10" width="9.5703125" customWidth="1"/>
    <col min="11" max="11" width="11.7109375" customWidth="1"/>
    <col min="12" max="12" width="13.85546875" customWidth="1"/>
    <col min="13" max="13" width="10.85546875" bestFit="1" customWidth="1"/>
    <col min="14" max="14" width="9.85546875" bestFit="1" customWidth="1"/>
  </cols>
  <sheetData>
    <row r="1" spans="1:14" ht="14.45" x14ac:dyDescent="0.3">
      <c r="H1" s="105"/>
      <c r="I1" s="105"/>
      <c r="J1" s="105"/>
    </row>
    <row r="2" spans="1:14" ht="14.45" x14ac:dyDescent="0.3">
      <c r="H2" s="105"/>
      <c r="I2" s="105"/>
      <c r="J2" s="105"/>
    </row>
    <row r="3" spans="1:14" ht="34.5" customHeight="1" x14ac:dyDescent="0.25">
      <c r="A3" s="460" t="s">
        <v>103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6"/>
    </row>
    <row r="4" spans="1:14" thickBot="1" x14ac:dyDescent="0.3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6"/>
      <c r="L4" s="106"/>
      <c r="M4" s="106"/>
    </row>
    <row r="5" spans="1:14" ht="15.75" thickBot="1" x14ac:dyDescent="0.3">
      <c r="A5" s="468" t="s">
        <v>104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70"/>
    </row>
    <row r="6" spans="1:14" ht="15" customHeight="1" x14ac:dyDescent="0.25">
      <c r="A6" s="461" t="s">
        <v>36</v>
      </c>
      <c r="B6" s="455" t="s">
        <v>37</v>
      </c>
      <c r="C6" s="463" t="s">
        <v>53</v>
      </c>
      <c r="D6" s="466" t="s">
        <v>39</v>
      </c>
      <c r="E6" s="451" t="s">
        <v>40</v>
      </c>
      <c r="F6" s="451"/>
      <c r="G6" s="451"/>
      <c r="H6" s="451"/>
      <c r="I6" s="451"/>
      <c r="J6" s="451"/>
      <c r="K6" s="451"/>
      <c r="L6" s="452"/>
    </row>
    <row r="7" spans="1:14" ht="61.5" customHeight="1" thickBot="1" x14ac:dyDescent="0.3">
      <c r="A7" s="462"/>
      <c r="B7" s="456"/>
      <c r="C7" s="464"/>
      <c r="D7" s="467"/>
      <c r="E7" s="103" t="s">
        <v>42</v>
      </c>
      <c r="F7" s="85" t="s">
        <v>43</v>
      </c>
      <c r="G7" s="85" t="s">
        <v>44</v>
      </c>
      <c r="H7" s="85" t="s">
        <v>45</v>
      </c>
      <c r="I7" s="85" t="s">
        <v>46</v>
      </c>
      <c r="J7" s="85" t="s">
        <v>47</v>
      </c>
      <c r="K7" s="85" t="s">
        <v>49</v>
      </c>
      <c r="L7" s="87" t="s">
        <v>50</v>
      </c>
    </row>
    <row r="8" spans="1:14" ht="23.25" customHeight="1" thickTop="1" x14ac:dyDescent="0.25">
      <c r="A8" s="96" t="s">
        <v>24</v>
      </c>
      <c r="B8" s="380">
        <v>225.6927</v>
      </c>
      <c r="C8" s="381">
        <v>44046944</v>
      </c>
      <c r="D8" s="326">
        <f>C8/B8/12</f>
        <v>16263.612720600475</v>
      </c>
      <c r="E8" s="382">
        <v>35669344</v>
      </c>
      <c r="F8" s="323">
        <v>4337700</v>
      </c>
      <c r="G8" s="323">
        <v>627479</v>
      </c>
      <c r="H8" s="323">
        <v>3141972</v>
      </c>
      <c r="I8" s="323">
        <v>130225</v>
      </c>
      <c r="J8" s="323">
        <v>0</v>
      </c>
      <c r="K8" s="323">
        <v>14360</v>
      </c>
      <c r="L8" s="326">
        <v>125864</v>
      </c>
      <c r="M8" s="105"/>
      <c r="N8" s="105"/>
    </row>
    <row r="9" spans="1:14" ht="23.25" customHeight="1" x14ac:dyDescent="0.25">
      <c r="A9" s="97" t="s">
        <v>80</v>
      </c>
      <c r="B9" s="383">
        <v>423.28980000000001</v>
      </c>
      <c r="C9" s="381">
        <v>93578356</v>
      </c>
      <c r="D9" s="326">
        <f t="shared" ref="D9:D12" si="0">C9/B9/12</f>
        <v>18422.830725742348</v>
      </c>
      <c r="E9" s="384">
        <v>73892261</v>
      </c>
      <c r="F9" s="344">
        <v>9340358</v>
      </c>
      <c r="G9" s="344">
        <v>2215915</v>
      </c>
      <c r="H9" s="344">
        <v>6155661</v>
      </c>
      <c r="I9" s="344">
        <v>1317716</v>
      </c>
      <c r="J9" s="344">
        <v>287</v>
      </c>
      <c r="K9" s="344">
        <v>176958</v>
      </c>
      <c r="L9" s="347">
        <v>479200</v>
      </c>
      <c r="M9" s="105"/>
      <c r="N9" s="105"/>
    </row>
    <row r="10" spans="1:14" ht="23.25" customHeight="1" x14ac:dyDescent="0.25">
      <c r="A10" s="97" t="s">
        <v>57</v>
      </c>
      <c r="B10" s="383">
        <v>22.139700000000001</v>
      </c>
      <c r="C10" s="381">
        <v>5501624</v>
      </c>
      <c r="D10" s="326">
        <f t="shared" si="0"/>
        <v>20707.98911758816</v>
      </c>
      <c r="E10" s="384">
        <v>4060246</v>
      </c>
      <c r="F10" s="344">
        <v>512039</v>
      </c>
      <c r="G10" s="344">
        <v>191527</v>
      </c>
      <c r="H10" s="344">
        <v>648643</v>
      </c>
      <c r="I10" s="344">
        <v>75340</v>
      </c>
      <c r="J10" s="344">
        <v>0</v>
      </c>
      <c r="K10" s="344">
        <v>0</v>
      </c>
      <c r="L10" s="347">
        <v>13829</v>
      </c>
      <c r="M10" s="105"/>
      <c r="N10" s="105"/>
    </row>
    <row r="11" spans="1:14" ht="23.25" customHeight="1" x14ac:dyDescent="0.25">
      <c r="A11" s="97" t="s">
        <v>25</v>
      </c>
      <c r="B11" s="383">
        <v>1.1451</v>
      </c>
      <c r="C11" s="381">
        <v>243672</v>
      </c>
      <c r="D11" s="326">
        <f t="shared" si="0"/>
        <v>17732.949087415946</v>
      </c>
      <c r="E11" s="384">
        <v>193263</v>
      </c>
      <c r="F11" s="344">
        <v>20947</v>
      </c>
      <c r="G11" s="344">
        <v>10912</v>
      </c>
      <c r="H11" s="344">
        <v>18550</v>
      </c>
      <c r="I11" s="344">
        <v>0</v>
      </c>
      <c r="J11" s="344">
        <v>0</v>
      </c>
      <c r="K11" s="344">
        <v>0</v>
      </c>
      <c r="L11" s="347">
        <v>0</v>
      </c>
      <c r="M11" s="105"/>
      <c r="N11" s="105"/>
    </row>
    <row r="12" spans="1:14" ht="23.25" customHeight="1" x14ac:dyDescent="0.25">
      <c r="A12" s="98" t="s">
        <v>26</v>
      </c>
      <c r="B12" s="343">
        <v>490.50779999999997</v>
      </c>
      <c r="C12" s="381">
        <v>108365876</v>
      </c>
      <c r="D12" s="326">
        <f t="shared" si="0"/>
        <v>18410.491467549888</v>
      </c>
      <c r="E12" s="384">
        <v>86671423</v>
      </c>
      <c r="F12" s="344">
        <v>11006211</v>
      </c>
      <c r="G12" s="344">
        <v>1941923</v>
      </c>
      <c r="H12" s="344">
        <v>6637330</v>
      </c>
      <c r="I12" s="344">
        <v>2053686</v>
      </c>
      <c r="J12" s="344">
        <v>0</v>
      </c>
      <c r="K12" s="344">
        <v>37873</v>
      </c>
      <c r="L12" s="347">
        <v>17430</v>
      </c>
      <c r="M12" s="277"/>
      <c r="N12" s="105"/>
    </row>
    <row r="13" spans="1:14" ht="23.25" customHeight="1" thickBot="1" x14ac:dyDescent="0.3">
      <c r="A13" s="99" t="s">
        <v>51</v>
      </c>
      <c r="B13" s="334">
        <v>66.826800000000006</v>
      </c>
      <c r="C13" s="385">
        <v>16288043</v>
      </c>
      <c r="D13" s="386">
        <f>C13/B13/12</f>
        <v>20311.266088854569</v>
      </c>
      <c r="E13" s="387">
        <v>12449252</v>
      </c>
      <c r="F13" s="335">
        <v>1590642</v>
      </c>
      <c r="G13" s="335">
        <v>591463</v>
      </c>
      <c r="H13" s="335">
        <v>1385472</v>
      </c>
      <c r="I13" s="335">
        <v>182182</v>
      </c>
      <c r="J13" s="335">
        <v>0</v>
      </c>
      <c r="K13" s="335">
        <v>10542</v>
      </c>
      <c r="L13" s="338">
        <v>78490</v>
      </c>
      <c r="M13" s="277"/>
      <c r="N13" s="105"/>
    </row>
    <row r="14" spans="1:14" ht="23.25" customHeight="1" thickTop="1" thickBot="1" x14ac:dyDescent="0.35">
      <c r="A14" s="92" t="s">
        <v>52</v>
      </c>
      <c r="B14" s="340">
        <f>SUM(B8:B13)</f>
        <v>1229.6018999999999</v>
      </c>
      <c r="C14" s="26">
        <f>SUM(C8:C13)</f>
        <v>268024515</v>
      </c>
      <c r="D14" s="379">
        <f>C14/B14/12</f>
        <v>18164.721646900514</v>
      </c>
      <c r="E14" s="377">
        <f>SUM(E8:E13)</f>
        <v>212935789</v>
      </c>
      <c r="F14" s="377">
        <f t="shared" ref="F14:L14" si="1">SUM(F8:F13)</f>
        <v>26807897</v>
      </c>
      <c r="G14" s="377">
        <f t="shared" si="1"/>
        <v>5579219</v>
      </c>
      <c r="H14" s="377">
        <f t="shared" si="1"/>
        <v>17987628</v>
      </c>
      <c r="I14" s="377">
        <f t="shared" si="1"/>
        <v>3759149</v>
      </c>
      <c r="J14" s="377">
        <f t="shared" si="1"/>
        <v>287</v>
      </c>
      <c r="K14" s="377">
        <f t="shared" si="1"/>
        <v>239733</v>
      </c>
      <c r="L14" s="29">
        <f t="shared" si="1"/>
        <v>714813</v>
      </c>
    </row>
    <row r="15" spans="1:14" ht="14.45" x14ac:dyDescent="0.3">
      <c r="D15" s="157"/>
    </row>
    <row r="16" spans="1:14" ht="14.45" x14ac:dyDescent="0.3">
      <c r="A16" s="152"/>
      <c r="B16" s="158"/>
      <c r="C16" s="159"/>
      <c r="E16" s="159"/>
      <c r="F16" s="159"/>
      <c r="G16" s="159"/>
      <c r="H16" s="159"/>
      <c r="I16" s="159"/>
      <c r="J16" s="159"/>
      <c r="K16" s="159"/>
      <c r="L16" s="159"/>
    </row>
    <row r="17" spans="4:5" ht="14.45" x14ac:dyDescent="0.3">
      <c r="D17" s="83"/>
      <c r="E17" s="83"/>
    </row>
    <row r="18" spans="4:5" ht="14.45" x14ac:dyDescent="0.3">
      <c r="D18" s="83"/>
      <c r="E18" s="83"/>
    </row>
    <row r="19" spans="4:5" ht="14.45" x14ac:dyDescent="0.3">
      <c r="D19" s="83"/>
      <c r="E19" s="83"/>
    </row>
    <row r="20" spans="4:5" ht="14.45" x14ac:dyDescent="0.3">
      <c r="D20" s="83"/>
      <c r="E20" s="83"/>
    </row>
    <row r="21" spans="4:5" ht="14.45" x14ac:dyDescent="0.3">
      <c r="D21" s="83"/>
      <c r="E21" s="83"/>
    </row>
    <row r="22" spans="4:5" ht="14.45" x14ac:dyDescent="0.3">
      <c r="D22" s="83"/>
      <c r="E22" s="83"/>
    </row>
    <row r="23" spans="4:5" ht="14.45" x14ac:dyDescent="0.3">
      <c r="D23" s="83"/>
      <c r="E23" s="83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D21" sqref="D21"/>
    </sheetView>
  </sheetViews>
  <sheetFormatPr defaultColWidth="9.140625" defaultRowHeight="15" x14ac:dyDescent="0.25"/>
  <cols>
    <col min="1" max="1" width="11.7109375" style="1" customWidth="1"/>
    <col min="2" max="2" width="10.140625" style="1" customWidth="1"/>
    <col min="3" max="3" width="10" style="1" customWidth="1"/>
    <col min="4" max="4" width="12.85546875" style="1" bestFit="1" customWidth="1"/>
    <col min="5" max="5" width="11.85546875" style="1" bestFit="1" customWidth="1"/>
    <col min="6" max="6" width="10" style="1" bestFit="1" customWidth="1"/>
    <col min="7" max="7" width="10.28515625" style="1" bestFit="1" customWidth="1"/>
    <col min="8" max="8" width="10" style="1" bestFit="1" customWidth="1"/>
    <col min="9" max="9" width="9.28515625" style="1" bestFit="1" customWidth="1"/>
    <col min="10" max="11" width="9.7109375" style="1" bestFit="1" customWidth="1"/>
    <col min="12" max="12" width="9.28515625" style="1" bestFit="1" customWidth="1"/>
    <col min="13" max="13" width="10.85546875" style="1" bestFit="1" customWidth="1"/>
    <col min="14" max="14" width="9.85546875" style="1" bestFit="1" customWidth="1"/>
    <col min="15" max="16384" width="9.140625" style="1"/>
  </cols>
  <sheetData>
    <row r="1" spans="1:14" ht="14.45" x14ac:dyDescent="0.3">
      <c r="H1" s="68"/>
      <c r="I1" s="68"/>
      <c r="J1" s="68"/>
    </row>
    <row r="2" spans="1:14" ht="14.45" x14ac:dyDescent="0.3">
      <c r="H2" s="68"/>
      <c r="I2" s="68"/>
      <c r="J2" s="68"/>
    </row>
    <row r="3" spans="1:14" ht="34.5" customHeight="1" x14ac:dyDescent="0.25">
      <c r="A3" s="460" t="s">
        <v>99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</row>
    <row r="4" spans="1:14" thickBot="1" x14ac:dyDescent="0.35">
      <c r="E4" s="93"/>
      <c r="F4" s="93"/>
      <c r="G4" s="93"/>
      <c r="H4" s="93"/>
      <c r="I4" s="93"/>
      <c r="J4" s="93"/>
      <c r="K4" s="93"/>
      <c r="L4" s="93"/>
    </row>
    <row r="5" spans="1:14" ht="15.75" thickBot="1" x14ac:dyDescent="0.3">
      <c r="A5" s="439" t="s">
        <v>100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1"/>
    </row>
    <row r="6" spans="1:14" ht="15" customHeight="1" x14ac:dyDescent="0.25">
      <c r="A6" s="453" t="s">
        <v>36</v>
      </c>
      <c r="B6" s="455" t="s">
        <v>37</v>
      </c>
      <c r="C6" s="463" t="s">
        <v>58</v>
      </c>
      <c r="D6" s="448" t="s">
        <v>39</v>
      </c>
      <c r="E6" s="450" t="s">
        <v>40</v>
      </c>
      <c r="F6" s="451"/>
      <c r="G6" s="451"/>
      <c r="H6" s="451"/>
      <c r="I6" s="451"/>
      <c r="J6" s="451"/>
      <c r="K6" s="451"/>
      <c r="L6" s="452"/>
    </row>
    <row r="7" spans="1:14" ht="60.75" customHeight="1" thickBot="1" x14ac:dyDescent="0.3">
      <c r="A7" s="454"/>
      <c r="B7" s="456"/>
      <c r="C7" s="464"/>
      <c r="D7" s="449"/>
      <c r="E7" s="176" t="s">
        <v>42</v>
      </c>
      <c r="F7" s="177" t="s">
        <v>43</v>
      </c>
      <c r="G7" s="177" t="s">
        <v>44</v>
      </c>
      <c r="H7" s="177" t="s">
        <v>45</v>
      </c>
      <c r="I7" s="177" t="s">
        <v>46</v>
      </c>
      <c r="J7" s="177" t="s">
        <v>47</v>
      </c>
      <c r="K7" s="177" t="s">
        <v>49</v>
      </c>
      <c r="L7" s="87" t="s">
        <v>50</v>
      </c>
    </row>
    <row r="8" spans="1:14" ht="15.75" thickTop="1" x14ac:dyDescent="0.25">
      <c r="A8" s="88" t="s">
        <v>79</v>
      </c>
      <c r="B8" s="388">
        <v>252.37620000000001</v>
      </c>
      <c r="C8" s="323">
        <v>67407133</v>
      </c>
      <c r="D8" s="324">
        <f>C8/B8/12</f>
        <v>22257.491329742395</v>
      </c>
      <c r="E8" s="325">
        <v>50812637</v>
      </c>
      <c r="F8" s="323">
        <v>6747497</v>
      </c>
      <c r="G8" s="323">
        <v>3283420</v>
      </c>
      <c r="H8" s="323">
        <v>4551011</v>
      </c>
      <c r="I8" s="323">
        <v>1489278</v>
      </c>
      <c r="J8" s="323">
        <v>22932</v>
      </c>
      <c r="K8" s="323">
        <v>391998</v>
      </c>
      <c r="L8" s="326">
        <v>108360</v>
      </c>
      <c r="M8" s="68"/>
      <c r="N8" s="68"/>
    </row>
    <row r="9" spans="1:14" x14ac:dyDescent="0.25">
      <c r="A9" s="89" t="s">
        <v>10</v>
      </c>
      <c r="B9" s="389">
        <v>4.3636999999999997</v>
      </c>
      <c r="C9" s="323">
        <v>1254803</v>
      </c>
      <c r="D9" s="324">
        <f>C9/B9/12</f>
        <v>23962.90227711957</v>
      </c>
      <c r="E9" s="346">
        <v>970531</v>
      </c>
      <c r="F9" s="344">
        <v>132505</v>
      </c>
      <c r="G9" s="344">
        <v>58113</v>
      </c>
      <c r="H9" s="344">
        <v>35750</v>
      </c>
      <c r="I9" s="344">
        <v>42417</v>
      </c>
      <c r="J9" s="344">
        <v>0</v>
      </c>
      <c r="K9" s="344">
        <v>0</v>
      </c>
      <c r="L9" s="347">
        <v>15487</v>
      </c>
      <c r="M9" s="68"/>
      <c r="N9" s="68"/>
    </row>
    <row r="10" spans="1:14" ht="22.5" x14ac:dyDescent="0.25">
      <c r="A10" s="89" t="s">
        <v>86</v>
      </c>
      <c r="B10" s="389">
        <v>14.9826</v>
      </c>
      <c r="C10" s="323">
        <v>3960201</v>
      </c>
      <c r="D10" s="324">
        <f>C10/B10/12</f>
        <v>22026.667601083926</v>
      </c>
      <c r="E10" s="346">
        <v>3002727</v>
      </c>
      <c r="F10" s="344">
        <f>287079+117056</f>
        <v>404135</v>
      </c>
      <c r="G10" s="344">
        <v>287680</v>
      </c>
      <c r="H10" s="344">
        <v>189700</v>
      </c>
      <c r="I10" s="344">
        <v>72609</v>
      </c>
      <c r="J10" s="344">
        <v>0</v>
      </c>
      <c r="K10" s="344">
        <v>0</v>
      </c>
      <c r="L10" s="347">
        <v>3350</v>
      </c>
      <c r="M10" s="68"/>
      <c r="N10" s="68"/>
    </row>
    <row r="11" spans="1:14" x14ac:dyDescent="0.25">
      <c r="A11" s="89" t="s">
        <v>25</v>
      </c>
      <c r="B11" s="390">
        <v>0</v>
      </c>
      <c r="C11" s="323">
        <f t="shared" ref="C11" si="0">SUM(E11:L11)</f>
        <v>0</v>
      </c>
      <c r="D11" s="324">
        <v>0</v>
      </c>
      <c r="E11" s="346">
        <v>0</v>
      </c>
      <c r="F11" s="344">
        <v>0</v>
      </c>
      <c r="G11" s="344">
        <v>0</v>
      </c>
      <c r="H11" s="344">
        <v>0</v>
      </c>
      <c r="I11" s="344">
        <v>0</v>
      </c>
      <c r="J11" s="344">
        <v>0</v>
      </c>
      <c r="K11" s="344">
        <v>0</v>
      </c>
      <c r="L11" s="347">
        <v>0</v>
      </c>
      <c r="M11" s="68"/>
    </row>
    <row r="12" spans="1:14" x14ac:dyDescent="0.25">
      <c r="A12" s="90" t="s">
        <v>26</v>
      </c>
      <c r="B12" s="389">
        <v>52.33</v>
      </c>
      <c r="C12" s="323">
        <v>12849076</v>
      </c>
      <c r="D12" s="324">
        <f t="shared" ref="D12:D17" si="1">C12/B12/12</f>
        <v>20461.615389515257</v>
      </c>
      <c r="E12" s="346">
        <v>9715400</v>
      </c>
      <c r="F12" s="344">
        <v>1380172</v>
      </c>
      <c r="G12" s="344">
        <v>532623</v>
      </c>
      <c r="H12" s="344">
        <v>908371</v>
      </c>
      <c r="I12" s="344">
        <v>210287</v>
      </c>
      <c r="J12" s="344">
        <v>65701</v>
      </c>
      <c r="K12" s="344">
        <v>17107</v>
      </c>
      <c r="L12" s="347">
        <v>19415</v>
      </c>
      <c r="M12" s="68"/>
      <c r="N12" s="68"/>
    </row>
    <row r="13" spans="1:14" x14ac:dyDescent="0.25">
      <c r="A13" s="94" t="s">
        <v>8</v>
      </c>
      <c r="B13" s="389">
        <v>0</v>
      </c>
      <c r="C13" s="323">
        <v>0</v>
      </c>
      <c r="D13" s="324">
        <v>0</v>
      </c>
      <c r="E13" s="346">
        <v>0</v>
      </c>
      <c r="F13" s="344">
        <v>0</v>
      </c>
      <c r="G13" s="344">
        <v>0</v>
      </c>
      <c r="H13" s="344">
        <v>0</v>
      </c>
      <c r="I13" s="344">
        <v>0</v>
      </c>
      <c r="J13" s="344">
        <v>0</v>
      </c>
      <c r="K13" s="344">
        <v>0</v>
      </c>
      <c r="L13" s="347">
        <v>0</v>
      </c>
      <c r="N13" s="68"/>
    </row>
    <row r="14" spans="1:14" ht="22.5" x14ac:dyDescent="0.25">
      <c r="A14" s="94" t="s">
        <v>88</v>
      </c>
      <c r="B14" s="389">
        <v>1.875</v>
      </c>
      <c r="C14" s="323">
        <v>590304</v>
      </c>
      <c r="D14" s="324">
        <f t="shared" si="1"/>
        <v>26235.733333333334</v>
      </c>
      <c r="E14" s="346">
        <v>420602</v>
      </c>
      <c r="F14" s="344">
        <v>53011</v>
      </c>
      <c r="G14" s="344">
        <v>36007</v>
      </c>
      <c r="H14" s="344">
        <v>80684</v>
      </c>
      <c r="I14" s="344">
        <v>0</v>
      </c>
      <c r="J14" s="344">
        <v>0</v>
      </c>
      <c r="K14" s="344">
        <v>0</v>
      </c>
      <c r="L14" s="347">
        <v>0</v>
      </c>
      <c r="M14" s="68"/>
      <c r="N14" s="68"/>
    </row>
    <row r="15" spans="1:14" ht="14.45" x14ac:dyDescent="0.3">
      <c r="A15" s="94" t="s">
        <v>11</v>
      </c>
      <c r="B15" s="389">
        <v>71.171099999999996</v>
      </c>
      <c r="C15" s="323">
        <v>20504669</v>
      </c>
      <c r="D15" s="324">
        <f t="shared" si="1"/>
        <v>24008.655432706069</v>
      </c>
      <c r="E15" s="346">
        <v>13699866</v>
      </c>
      <c r="F15" s="344">
        <v>2065143</v>
      </c>
      <c r="G15" s="344">
        <v>853648</v>
      </c>
      <c r="H15" s="344">
        <v>761456</v>
      </c>
      <c r="I15" s="344">
        <v>137269</v>
      </c>
      <c r="J15" s="344">
        <v>32775</v>
      </c>
      <c r="K15" s="344">
        <v>232079</v>
      </c>
      <c r="L15" s="347">
        <v>2722433</v>
      </c>
      <c r="M15" s="68"/>
      <c r="N15" s="68"/>
    </row>
    <row r="16" spans="1:14" ht="23.25" thickBot="1" x14ac:dyDescent="0.3">
      <c r="A16" s="91" t="s">
        <v>55</v>
      </c>
      <c r="B16" s="391">
        <v>57.3581</v>
      </c>
      <c r="C16" s="392">
        <v>15038360</v>
      </c>
      <c r="D16" s="393">
        <f t="shared" si="1"/>
        <v>21848.643289555734</v>
      </c>
      <c r="E16" s="337">
        <v>10982431</v>
      </c>
      <c r="F16" s="335">
        <v>1515495</v>
      </c>
      <c r="G16" s="335">
        <v>683679</v>
      </c>
      <c r="H16" s="335">
        <v>1042497</v>
      </c>
      <c r="I16" s="335">
        <v>239942</v>
      </c>
      <c r="J16" s="335">
        <v>46192</v>
      </c>
      <c r="K16" s="335">
        <v>29602</v>
      </c>
      <c r="L16" s="338">
        <v>499236</v>
      </c>
      <c r="M16" s="68"/>
      <c r="N16" s="68"/>
    </row>
    <row r="17" spans="1:13" ht="15.6" thickTop="1" thickBot="1" x14ac:dyDescent="0.35">
      <c r="A17" s="104" t="s">
        <v>59</v>
      </c>
      <c r="B17" s="316">
        <f>SUM(B8:B16)</f>
        <v>454.45670000000001</v>
      </c>
      <c r="C17" s="283">
        <f>SUM(C8:C16)</f>
        <v>121604546</v>
      </c>
      <c r="D17" s="378">
        <f t="shared" si="1"/>
        <v>22298.520775833356</v>
      </c>
      <c r="E17" s="25">
        <f>SUM(E8:E16)</f>
        <v>89604194</v>
      </c>
      <c r="F17" s="26">
        <f>SUM(F8:F16)</f>
        <v>12297958</v>
      </c>
      <c r="G17" s="26">
        <f t="shared" ref="G17:L17" si="2">SUM(G8:G16)</f>
        <v>5735170</v>
      </c>
      <c r="H17" s="26">
        <f t="shared" si="2"/>
        <v>7569469</v>
      </c>
      <c r="I17" s="26">
        <f t="shared" si="2"/>
        <v>2191802</v>
      </c>
      <c r="J17" s="26">
        <f t="shared" si="2"/>
        <v>167600</v>
      </c>
      <c r="K17" s="26">
        <f t="shared" si="2"/>
        <v>670786</v>
      </c>
      <c r="L17" s="379">
        <f t="shared" si="2"/>
        <v>3368281</v>
      </c>
      <c r="M17" s="68"/>
    </row>
    <row r="18" spans="1:13" ht="14.45" x14ac:dyDescent="0.3">
      <c r="A18" s="160"/>
      <c r="B18" s="160"/>
      <c r="C18" s="199"/>
      <c r="D18" s="160"/>
      <c r="E18" s="160"/>
      <c r="F18" s="160"/>
      <c r="G18" s="160"/>
      <c r="H18" s="160"/>
      <c r="I18" s="160"/>
      <c r="J18" s="160"/>
      <c r="K18" s="160"/>
      <c r="L18" s="160"/>
    </row>
    <row r="20" spans="1:13" ht="14.45" x14ac:dyDescent="0.3">
      <c r="B20" s="84"/>
    </row>
    <row r="21" spans="1:13" ht="14.45" x14ac:dyDescent="0.3">
      <c r="B21" s="1" t="s">
        <v>1</v>
      </c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N32" sqref="N32"/>
    </sheetView>
  </sheetViews>
  <sheetFormatPr defaultColWidth="9.140625" defaultRowHeight="15" x14ac:dyDescent="0.25"/>
  <cols>
    <col min="1" max="1" width="18.28515625" style="182" customWidth="1"/>
    <col min="2" max="2" width="12.140625" style="1" customWidth="1"/>
    <col min="3" max="3" width="12.7109375" style="1" customWidth="1"/>
    <col min="4" max="4" width="12.140625" style="1" customWidth="1"/>
    <col min="5" max="5" width="9.140625" style="1"/>
    <col min="6" max="6" width="15.85546875" style="1" customWidth="1"/>
    <col min="7" max="7" width="9.140625" style="1"/>
    <col min="8" max="8" width="14.7109375" style="1" customWidth="1"/>
    <col min="9" max="9" width="14.140625" style="1" customWidth="1"/>
    <col min="10" max="16384" width="9.140625" style="1"/>
  </cols>
  <sheetData>
    <row r="2" spans="1:10" ht="14.45" x14ac:dyDescent="0.3">
      <c r="A2" s="221"/>
      <c r="C2" s="178"/>
      <c r="D2" s="178"/>
    </row>
    <row r="3" spans="1:10" x14ac:dyDescent="0.25">
      <c r="A3" s="3" t="s">
        <v>90</v>
      </c>
    </row>
    <row r="4" spans="1:10" thickBot="1" x14ac:dyDescent="0.35"/>
    <row r="5" spans="1:10" ht="15.75" thickBot="1" x14ac:dyDescent="0.3">
      <c r="A5" s="480" t="s">
        <v>60</v>
      </c>
      <c r="B5" s="471" t="s">
        <v>83</v>
      </c>
      <c r="C5" s="472"/>
      <c r="D5" s="473"/>
      <c r="E5" s="483" t="s">
        <v>91</v>
      </c>
      <c r="F5" s="484"/>
      <c r="G5" s="485"/>
      <c r="H5" s="471" t="s">
        <v>98</v>
      </c>
      <c r="I5" s="472"/>
      <c r="J5" s="473"/>
    </row>
    <row r="6" spans="1:10" ht="15" customHeight="1" x14ac:dyDescent="0.25">
      <c r="A6" s="481"/>
      <c r="B6" s="486" t="s">
        <v>61</v>
      </c>
      <c r="C6" s="488" t="s">
        <v>62</v>
      </c>
      <c r="D6" s="490" t="s">
        <v>63</v>
      </c>
      <c r="E6" s="474" t="s">
        <v>61</v>
      </c>
      <c r="F6" s="476" t="s">
        <v>62</v>
      </c>
      <c r="G6" s="478" t="s">
        <v>63</v>
      </c>
      <c r="H6" s="474" t="s">
        <v>61</v>
      </c>
      <c r="I6" s="476" t="s">
        <v>62</v>
      </c>
      <c r="J6" s="478" t="s">
        <v>63</v>
      </c>
    </row>
    <row r="7" spans="1:10" ht="32.25" customHeight="1" thickBot="1" x14ac:dyDescent="0.3">
      <c r="A7" s="482"/>
      <c r="B7" s="487"/>
      <c r="C7" s="489"/>
      <c r="D7" s="491" t="s">
        <v>64</v>
      </c>
      <c r="E7" s="475"/>
      <c r="F7" s="477"/>
      <c r="G7" s="479"/>
      <c r="H7" s="475"/>
      <c r="I7" s="477"/>
      <c r="J7" s="479" t="s">
        <v>64</v>
      </c>
    </row>
    <row r="8" spans="1:10" x14ac:dyDescent="0.25">
      <c r="A8" s="200" t="s">
        <v>24</v>
      </c>
      <c r="B8" s="107">
        <f>'14'!B6+'14'!B17+'14'!B28</f>
        <v>947.69599999999991</v>
      </c>
      <c r="C8" s="170">
        <f>'14'!C6+'14'!C17+'14'!C28</f>
        <v>254074097</v>
      </c>
      <c r="D8" s="109">
        <f>C8/B8/12</f>
        <v>22341.385229722047</v>
      </c>
      <c r="E8" s="130">
        <v>980.60599999999999</v>
      </c>
      <c r="F8" s="274">
        <v>281989471</v>
      </c>
      <c r="G8" s="275">
        <f>F8/E8/12</f>
        <v>23963.878033923243</v>
      </c>
      <c r="H8" s="107">
        <f>'14'!H6+'14'!H17+'14'!H28</f>
        <v>1007.5657999999999</v>
      </c>
      <c r="I8" s="108">
        <f>'14'!I6+'14'!I17+'14'!I28</f>
        <v>316202758.37</v>
      </c>
      <c r="J8" s="109">
        <f t="shared" ref="J8:J14" si="0">I8/H8/12</f>
        <v>26152.366291280105</v>
      </c>
    </row>
    <row r="9" spans="1:10" x14ac:dyDescent="0.25">
      <c r="A9" s="203" t="s">
        <v>69</v>
      </c>
      <c r="B9" s="110">
        <f>'14'!B7+'14'!B18+'14'!B29</f>
        <v>2227.511</v>
      </c>
      <c r="C9" s="111">
        <f>'14'!C7+'14'!C18+'14'!C29</f>
        <v>705056268</v>
      </c>
      <c r="D9" s="112">
        <f t="shared" ref="D9:D14" si="1">C9/B9/12</f>
        <v>26376.83450272524</v>
      </c>
      <c r="E9" s="110">
        <v>2325.0239999999999</v>
      </c>
      <c r="F9" s="231">
        <v>800473309</v>
      </c>
      <c r="G9" s="224">
        <f t="shared" ref="G9:G14" si="2">F9/E9/12</f>
        <v>28690.5034456992</v>
      </c>
      <c r="H9" s="110">
        <f>'14'!H7+'14'!H18+'14'!H29</f>
        <v>2417.5086000000001</v>
      </c>
      <c r="I9" s="111">
        <f>'14'!I7+'14'!I18+'14'!I29</f>
        <v>900274805</v>
      </c>
      <c r="J9" s="112">
        <f t="shared" si="0"/>
        <v>31033.14727263707</v>
      </c>
    </row>
    <row r="10" spans="1:10" x14ac:dyDescent="0.25">
      <c r="A10" s="201" t="s">
        <v>25</v>
      </c>
      <c r="B10" s="110">
        <f>'14'!B8+'14'!B19+'14'!B30</f>
        <v>236.619</v>
      </c>
      <c r="C10" s="111">
        <f>'14'!C8+'14'!C19+'14'!C30</f>
        <v>67205855</v>
      </c>
      <c r="D10" s="112">
        <f t="shared" si="1"/>
        <v>23668.800547152456</v>
      </c>
      <c r="E10" s="110">
        <v>241.458</v>
      </c>
      <c r="F10" s="225">
        <v>73039609</v>
      </c>
      <c r="G10" s="224">
        <f t="shared" si="2"/>
        <v>25207.837732994285</v>
      </c>
      <c r="H10" s="110">
        <f>'14'!H8+'14'!H30+'14'!H19</f>
        <v>244.2799</v>
      </c>
      <c r="I10" s="111">
        <f>'14'!I8+'14'!I30+'14'!I19</f>
        <v>81286770</v>
      </c>
      <c r="J10" s="112">
        <f t="shared" si="0"/>
        <v>27730.064978739552</v>
      </c>
    </row>
    <row r="11" spans="1:10" x14ac:dyDescent="0.25">
      <c r="A11" s="201" t="s">
        <v>26</v>
      </c>
      <c r="B11" s="110">
        <f>'14'!B9+'14'!B20+'14'!B31</f>
        <v>487.14299999999992</v>
      </c>
      <c r="C11" s="111">
        <f>'14'!C9+'14'!C20+'14'!C31</f>
        <v>88385076</v>
      </c>
      <c r="D11" s="112">
        <f t="shared" si="1"/>
        <v>15119.632222981754</v>
      </c>
      <c r="E11" s="110">
        <v>481.24900000000002</v>
      </c>
      <c r="F11" s="225">
        <v>96897570</v>
      </c>
      <c r="G11" s="224">
        <f t="shared" si="2"/>
        <v>16778.834865111407</v>
      </c>
      <c r="H11" s="110">
        <f>'14'!H9+'14'!H20+'14'!H31</f>
        <v>490.50779999999997</v>
      </c>
      <c r="I11" s="111">
        <f>'14'!I9+'14'!I20+'14'!I31</f>
        <v>108365876</v>
      </c>
      <c r="J11" s="112">
        <f t="shared" si="0"/>
        <v>18410.491467549888</v>
      </c>
    </row>
    <row r="12" spans="1:10" x14ac:dyDescent="0.25">
      <c r="A12" s="201" t="s">
        <v>13</v>
      </c>
      <c r="B12" s="110">
        <f>'14'!B10+'14'!B21+'14'!B32</f>
        <v>293.08100000000002</v>
      </c>
      <c r="C12" s="111">
        <f>'14'!C10+'14'!C21+'14'!C32</f>
        <v>99937349</v>
      </c>
      <c r="D12" s="112">
        <f t="shared" si="1"/>
        <v>28415.736320903321</v>
      </c>
      <c r="E12" s="110">
        <v>297.06400000000002</v>
      </c>
      <c r="F12" s="225">
        <v>107753692</v>
      </c>
      <c r="G12" s="224">
        <f t="shared" si="2"/>
        <v>30227.40666433271</v>
      </c>
      <c r="H12" s="110">
        <f>'14'!H10+'14'!H21+'14'!H32</f>
        <v>341.71579999999994</v>
      </c>
      <c r="I12" s="111">
        <f>'14'!I10+'14'!I21+'14'!I32</f>
        <v>127827619</v>
      </c>
      <c r="J12" s="112">
        <f t="shared" si="0"/>
        <v>31172.985221442304</v>
      </c>
    </row>
    <row r="13" spans="1:10" thickBot="1" x14ac:dyDescent="0.35">
      <c r="A13" s="202" t="s">
        <v>15</v>
      </c>
      <c r="B13" s="113">
        <f>'14'!B11+'14'!B22+'14'!B33</f>
        <v>65.284999999999997</v>
      </c>
      <c r="C13" s="114">
        <f>'14'!C11+'14'!C22+'14'!C33</f>
        <v>20584687</v>
      </c>
      <c r="D13" s="115">
        <f t="shared" si="1"/>
        <v>26275.416762400757</v>
      </c>
      <c r="E13" s="123">
        <v>70.247</v>
      </c>
      <c r="F13" s="270">
        <v>23903454</v>
      </c>
      <c r="G13" s="271">
        <f t="shared" si="2"/>
        <v>28356.435150255526</v>
      </c>
      <c r="H13" s="113">
        <f>'14'!H11+'14'!H22+'14'!H33</f>
        <v>79.123199999999997</v>
      </c>
      <c r="I13" s="114">
        <f>'14'!I11+'14'!I22+'14'!I33</f>
        <v>29261345</v>
      </c>
      <c r="J13" s="115">
        <f t="shared" si="0"/>
        <v>30818.336678327807</v>
      </c>
    </row>
    <row r="14" spans="1:10" ht="19.5" customHeight="1" thickBot="1" x14ac:dyDescent="0.35">
      <c r="A14" s="190" t="s">
        <v>65</v>
      </c>
      <c r="B14" s="116">
        <f>SUM(B8:B13)</f>
        <v>4257.335</v>
      </c>
      <c r="C14" s="117">
        <f>SUM(C8:C13)</f>
        <v>1235243332</v>
      </c>
      <c r="D14" s="118">
        <f t="shared" si="1"/>
        <v>24178.727850482363</v>
      </c>
      <c r="E14" s="116">
        <f>SUM(E8:E13)</f>
        <v>4395.648000000001</v>
      </c>
      <c r="F14" s="272">
        <f>SUM(F8:F13)</f>
        <v>1384057105</v>
      </c>
      <c r="G14" s="273">
        <f t="shared" si="2"/>
        <v>26239.155656534214</v>
      </c>
      <c r="H14" s="116">
        <f>SUM(H8:H13)</f>
        <v>4580.7011000000002</v>
      </c>
      <c r="I14" s="229">
        <f>SUM(I8:I13)</f>
        <v>1563219173.3699999</v>
      </c>
      <c r="J14" s="125">
        <f t="shared" si="0"/>
        <v>28438.499173740016</v>
      </c>
    </row>
    <row r="15" spans="1:10" ht="14.45" x14ac:dyDescent="0.3">
      <c r="B15" s="171"/>
      <c r="C15" s="172"/>
      <c r="D15" s="156"/>
    </row>
    <row r="16" spans="1:10" ht="14.45" x14ac:dyDescent="0.3">
      <c r="B16" s="84"/>
      <c r="C16" s="68"/>
      <c r="D16" s="193"/>
    </row>
    <row r="17" spans="2:6" ht="14.45" x14ac:dyDescent="0.3">
      <c r="B17" s="68"/>
      <c r="C17" s="68"/>
      <c r="E17" s="68"/>
      <c r="F17" s="68"/>
    </row>
    <row r="18" spans="2:6" ht="14.45" x14ac:dyDescent="0.3">
      <c r="B18" s="194"/>
      <c r="C18" s="194"/>
      <c r="E18" s="68"/>
      <c r="F18" s="68"/>
    </row>
    <row r="19" spans="2:6" ht="14.45" x14ac:dyDescent="0.3">
      <c r="E19" s="68"/>
      <c r="F19" s="68"/>
    </row>
    <row r="20" spans="2:6" ht="14.45" x14ac:dyDescent="0.3">
      <c r="E20" s="68"/>
      <c r="F20" s="68"/>
    </row>
    <row r="21" spans="2:6" ht="14.45" x14ac:dyDescent="0.3">
      <c r="E21" s="68"/>
      <c r="F21" s="68"/>
    </row>
    <row r="22" spans="2:6" ht="14.45" x14ac:dyDescent="0.3">
      <c r="E22" s="68"/>
      <c r="F22" s="68"/>
    </row>
    <row r="23" spans="2:6" ht="14.45" x14ac:dyDescent="0.3">
      <c r="E23" s="68"/>
      <c r="F23" s="68"/>
    </row>
  </sheetData>
  <mergeCells count="13">
    <mergeCell ref="H5:J5"/>
    <mergeCell ref="H6:H7"/>
    <mergeCell ref="I6:I7"/>
    <mergeCell ref="J6:J7"/>
    <mergeCell ref="A5:A7"/>
    <mergeCell ref="B5:D5"/>
    <mergeCell ref="E5:G5"/>
    <mergeCell ref="E6:E7"/>
    <mergeCell ref="F6:F7"/>
    <mergeCell ref="G6:G7"/>
    <mergeCell ref="B6:B7"/>
    <mergeCell ref="C6:C7"/>
    <mergeCell ref="D6:D7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0" workbookViewId="0">
      <selection activeCell="P27" sqref="P27"/>
    </sheetView>
  </sheetViews>
  <sheetFormatPr defaultColWidth="9.140625" defaultRowHeight="15" x14ac:dyDescent="0.25"/>
  <cols>
    <col min="1" max="1" width="18.28515625" style="182" customWidth="1"/>
    <col min="2" max="2" width="9.28515625" style="1" customWidth="1"/>
    <col min="3" max="3" width="12.5703125" style="1" customWidth="1"/>
    <col min="4" max="4" width="7.42578125" style="1" customWidth="1"/>
    <col min="5" max="5" width="9.140625" style="1"/>
    <col min="6" max="6" width="12.85546875" style="1" customWidth="1"/>
    <col min="7" max="8" width="9.140625" style="1"/>
    <col min="9" max="9" width="12.140625" style="1" customWidth="1"/>
    <col min="10" max="16384" width="9.140625" style="1"/>
  </cols>
  <sheetData>
    <row r="1" spans="1:10" x14ac:dyDescent="0.25">
      <c r="A1" s="181" t="s">
        <v>78</v>
      </c>
    </row>
    <row r="2" spans="1:10" thickBot="1" x14ac:dyDescent="0.35">
      <c r="A2" s="181" t="s">
        <v>1</v>
      </c>
      <c r="C2" s="1" t="s">
        <v>1</v>
      </c>
      <c r="D2" s="1" t="s">
        <v>1</v>
      </c>
    </row>
    <row r="3" spans="1:10" ht="16.149999999999999" thickBot="1" x14ac:dyDescent="0.35">
      <c r="A3" s="492" t="s">
        <v>66</v>
      </c>
      <c r="B3" s="493"/>
      <c r="C3" s="493"/>
      <c r="D3" s="493"/>
      <c r="E3" s="493"/>
      <c r="F3" s="493"/>
      <c r="G3" s="493"/>
      <c r="H3" s="494"/>
      <c r="I3" s="494"/>
      <c r="J3" s="495"/>
    </row>
    <row r="4" spans="1:10" ht="15.75" thickBot="1" x14ac:dyDescent="0.3">
      <c r="A4" s="480" t="s">
        <v>60</v>
      </c>
      <c r="B4" s="496" t="s">
        <v>83</v>
      </c>
      <c r="C4" s="497"/>
      <c r="D4" s="498"/>
      <c r="E4" s="471" t="s">
        <v>91</v>
      </c>
      <c r="F4" s="472"/>
      <c r="G4" s="473"/>
      <c r="H4" s="496" t="s">
        <v>98</v>
      </c>
      <c r="I4" s="497"/>
      <c r="J4" s="498"/>
    </row>
    <row r="5" spans="1:10" ht="36.75" thickBot="1" x14ac:dyDescent="0.3">
      <c r="A5" s="482"/>
      <c r="B5" s="119" t="s">
        <v>61</v>
      </c>
      <c r="C5" s="120" t="s">
        <v>67</v>
      </c>
      <c r="D5" s="121" t="s">
        <v>63</v>
      </c>
      <c r="E5" s="119" t="s">
        <v>61</v>
      </c>
      <c r="F5" s="120" t="s">
        <v>67</v>
      </c>
      <c r="G5" s="121" t="s">
        <v>63</v>
      </c>
      <c r="H5" s="119" t="s">
        <v>61</v>
      </c>
      <c r="I5" s="120" t="s">
        <v>67</v>
      </c>
      <c r="J5" s="121" t="s">
        <v>63</v>
      </c>
    </row>
    <row r="6" spans="1:10" x14ac:dyDescent="0.25">
      <c r="A6" s="183" t="s">
        <v>24</v>
      </c>
      <c r="B6" s="107">
        <v>356.15100000000001</v>
      </c>
      <c r="C6" s="108">
        <v>93864443</v>
      </c>
      <c r="D6" s="109">
        <f t="shared" ref="D6:D11" si="0">C6/B6/12</f>
        <v>21962.698172030028</v>
      </c>
      <c r="E6" s="235">
        <v>377.31099999999998</v>
      </c>
      <c r="F6" s="111">
        <v>106354290</v>
      </c>
      <c r="G6" s="112">
        <f>F6/E6/12</f>
        <v>23489.528532165772</v>
      </c>
      <c r="H6" s="107">
        <v>386.63549999999998</v>
      </c>
      <c r="I6" s="108">
        <v>120073660.37</v>
      </c>
      <c r="J6" s="109">
        <f>I6/H6/12</f>
        <v>25880.03006492334</v>
      </c>
    </row>
    <row r="7" spans="1:10" x14ac:dyDescent="0.25">
      <c r="A7" s="184" t="s">
        <v>69</v>
      </c>
      <c r="B7" s="110">
        <v>793.72500000000002</v>
      </c>
      <c r="C7" s="111">
        <v>251225294</v>
      </c>
      <c r="D7" s="122">
        <f t="shared" si="0"/>
        <v>26376.189696263402</v>
      </c>
      <c r="E7" s="110">
        <v>824.33399999999995</v>
      </c>
      <c r="F7" s="111">
        <v>284142605</v>
      </c>
      <c r="G7" s="112">
        <f>F7/E7/12</f>
        <v>28724.461706864775</v>
      </c>
      <c r="H7" s="110">
        <v>852.60829999999999</v>
      </c>
      <c r="I7" s="111">
        <v>317592692</v>
      </c>
      <c r="J7" s="112">
        <f t="shared" ref="J7:J12" si="1">I7/H7/12</f>
        <v>31041.28550785474</v>
      </c>
    </row>
    <row r="8" spans="1:10" x14ac:dyDescent="0.25">
      <c r="A8" s="185" t="s">
        <v>25</v>
      </c>
      <c r="B8" s="110">
        <v>110.871</v>
      </c>
      <c r="C8" s="111">
        <v>31818449</v>
      </c>
      <c r="D8" s="122">
        <f t="shared" si="0"/>
        <v>23915.518184797347</v>
      </c>
      <c r="E8" s="110">
        <v>111.44799999999999</v>
      </c>
      <c r="F8" s="111">
        <v>33964405</v>
      </c>
      <c r="G8" s="112">
        <f>F8/E8/12</f>
        <v>25396.302161845288</v>
      </c>
      <c r="H8" s="110">
        <v>111.88849999999999</v>
      </c>
      <c r="I8" s="111">
        <v>36961358</v>
      </c>
      <c r="J8" s="112">
        <f t="shared" si="1"/>
        <v>27528.41593789055</v>
      </c>
    </row>
    <row r="9" spans="1:10" x14ac:dyDescent="0.25">
      <c r="A9" s="185" t="s">
        <v>26</v>
      </c>
      <c r="B9" s="110">
        <v>185.65899999999999</v>
      </c>
      <c r="C9" s="111">
        <v>34057394</v>
      </c>
      <c r="D9" s="122">
        <f t="shared" si="0"/>
        <v>15286.714711738547</v>
      </c>
      <c r="E9" s="110">
        <v>179.38300000000001</v>
      </c>
      <c r="F9" s="111">
        <v>36576482</v>
      </c>
      <c r="G9" s="112">
        <f t="shared" ref="G9:G12" si="2">F9/E9/12</f>
        <v>16991.800597975653</v>
      </c>
      <c r="H9" s="110">
        <v>182.82239999999999</v>
      </c>
      <c r="I9" s="111">
        <v>41088365</v>
      </c>
      <c r="J9" s="112">
        <f t="shared" si="1"/>
        <v>18728.724798857616</v>
      </c>
    </row>
    <row r="10" spans="1:10" x14ac:dyDescent="0.25">
      <c r="A10" s="185" t="s">
        <v>13</v>
      </c>
      <c r="B10" s="110">
        <v>86.72</v>
      </c>
      <c r="C10" s="111">
        <v>29736676</v>
      </c>
      <c r="D10" s="122">
        <f t="shared" si="0"/>
        <v>28575.372847478473</v>
      </c>
      <c r="E10" s="110">
        <v>88.763999999999996</v>
      </c>
      <c r="F10" s="111">
        <v>32554384</v>
      </c>
      <c r="G10" s="112">
        <f t="shared" si="2"/>
        <v>30562.67555916062</v>
      </c>
      <c r="H10" s="110">
        <v>133.85149999999999</v>
      </c>
      <c r="I10" s="111">
        <v>44970400</v>
      </c>
      <c r="J10" s="112">
        <f t="shared" si="1"/>
        <v>27997.693961840796</v>
      </c>
    </row>
    <row r="11" spans="1:10" thickBot="1" x14ac:dyDescent="0.35">
      <c r="A11" s="186" t="s">
        <v>15</v>
      </c>
      <c r="B11" s="123">
        <v>14.289</v>
      </c>
      <c r="C11" s="124">
        <v>4456169</v>
      </c>
      <c r="D11" s="122">
        <f t="shared" si="0"/>
        <v>25988.341848041619</v>
      </c>
      <c r="E11" s="123">
        <v>18.332999999999998</v>
      </c>
      <c r="F11" s="124">
        <v>6280151</v>
      </c>
      <c r="G11" s="232">
        <f t="shared" si="2"/>
        <v>28546.659939271627</v>
      </c>
      <c r="H11" s="123">
        <v>25.905799999999999</v>
      </c>
      <c r="I11" s="124">
        <v>9524337</v>
      </c>
      <c r="J11" s="232">
        <f t="shared" si="1"/>
        <v>30637.723984590324</v>
      </c>
    </row>
    <row r="12" spans="1:10" thickBot="1" x14ac:dyDescent="0.35">
      <c r="A12" s="187" t="s">
        <v>65</v>
      </c>
      <c r="B12" s="116">
        <f>SUM(B6:B11)</f>
        <v>1547.415</v>
      </c>
      <c r="C12" s="117">
        <f>SUM(C6:C11)</f>
        <v>445158425</v>
      </c>
      <c r="D12" s="125">
        <f>C12/B12/12</f>
        <v>23973.229816608131</v>
      </c>
      <c r="E12" s="116">
        <f>SUM(E6:E11)</f>
        <v>1599.5730000000001</v>
      </c>
      <c r="F12" s="117">
        <f>SUM(F6:F11)</f>
        <v>499872317</v>
      </c>
      <c r="G12" s="125">
        <f t="shared" si="2"/>
        <v>26041.966460215732</v>
      </c>
      <c r="H12" s="116">
        <f>SUM(H6:H11)</f>
        <v>1693.712</v>
      </c>
      <c r="I12" s="229">
        <f>SUM(I6:I11)</f>
        <v>570210812.37</v>
      </c>
      <c r="J12" s="226">
        <f t="shared" si="1"/>
        <v>28055.281947285021</v>
      </c>
    </row>
    <row r="13" spans="1:10" thickBot="1" x14ac:dyDescent="0.35"/>
    <row r="14" spans="1:10" ht="16.149999999999999" thickBot="1" x14ac:dyDescent="0.35">
      <c r="A14" s="505" t="s">
        <v>68</v>
      </c>
      <c r="B14" s="506"/>
      <c r="C14" s="506"/>
      <c r="D14" s="506"/>
      <c r="E14" s="506"/>
      <c r="F14" s="506"/>
      <c r="G14" s="506"/>
      <c r="H14" s="494"/>
      <c r="I14" s="494"/>
      <c r="J14" s="495"/>
    </row>
    <row r="15" spans="1:10" ht="15.75" thickBot="1" x14ac:dyDescent="0.3">
      <c r="A15" s="480" t="s">
        <v>60</v>
      </c>
      <c r="B15" s="496" t="s">
        <v>83</v>
      </c>
      <c r="C15" s="497"/>
      <c r="D15" s="498"/>
      <c r="E15" s="471" t="s">
        <v>91</v>
      </c>
      <c r="F15" s="472"/>
      <c r="G15" s="473"/>
      <c r="H15" s="496" t="s">
        <v>98</v>
      </c>
      <c r="I15" s="497"/>
      <c r="J15" s="498"/>
    </row>
    <row r="16" spans="1:10" ht="36.75" thickBot="1" x14ac:dyDescent="0.3">
      <c r="A16" s="482"/>
      <c r="B16" s="119" t="s">
        <v>61</v>
      </c>
      <c r="C16" s="120" t="s">
        <v>67</v>
      </c>
      <c r="D16" s="121" t="s">
        <v>63</v>
      </c>
      <c r="E16" s="119" t="s">
        <v>61</v>
      </c>
      <c r="F16" s="120" t="s">
        <v>67</v>
      </c>
      <c r="G16" s="121" t="s">
        <v>63</v>
      </c>
      <c r="H16" s="119" t="s">
        <v>61</v>
      </c>
      <c r="I16" s="120" t="s">
        <v>67</v>
      </c>
      <c r="J16" s="121" t="s">
        <v>63</v>
      </c>
    </row>
    <row r="17" spans="1:10" x14ac:dyDescent="0.25">
      <c r="A17" s="183" t="s">
        <v>24</v>
      </c>
      <c r="B17" s="126">
        <v>285.67899999999997</v>
      </c>
      <c r="C17" s="127">
        <v>78237676</v>
      </c>
      <c r="D17" s="122">
        <f t="shared" ref="D17:D22" si="3">C17/B17/12</f>
        <v>22822.140701043249</v>
      </c>
      <c r="E17" s="110">
        <v>296.67399999999998</v>
      </c>
      <c r="F17" s="111">
        <v>87229553</v>
      </c>
      <c r="G17" s="112">
        <f>F17/E17/12</f>
        <v>24502.077757628464</v>
      </c>
      <c r="H17" s="130">
        <v>306.17829999999998</v>
      </c>
      <c r="I17" s="127">
        <v>96793346</v>
      </c>
      <c r="J17" s="122">
        <f>I17/H17/12</f>
        <v>26344.493279460585</v>
      </c>
    </row>
    <row r="18" spans="1:10" x14ac:dyDescent="0.25">
      <c r="A18" s="184" t="s">
        <v>69</v>
      </c>
      <c r="B18" s="128">
        <v>741.37900000000002</v>
      </c>
      <c r="C18" s="111">
        <v>227889539</v>
      </c>
      <c r="D18" s="122">
        <f t="shared" si="3"/>
        <v>25615.501540597543</v>
      </c>
      <c r="E18" s="110">
        <v>778.226</v>
      </c>
      <c r="F18" s="111">
        <v>261652771</v>
      </c>
      <c r="G18" s="112">
        <f>F18/E18/12</f>
        <v>28018.079045590013</v>
      </c>
      <c r="H18" s="110">
        <v>822.00059999999996</v>
      </c>
      <c r="I18" s="111">
        <v>298832805</v>
      </c>
      <c r="J18" s="122">
        <f t="shared" ref="J18:J23" si="4">I18/H18/12</f>
        <v>30295.274419507725</v>
      </c>
    </row>
    <row r="19" spans="1:10" x14ac:dyDescent="0.25">
      <c r="A19" s="185" t="s">
        <v>25</v>
      </c>
      <c r="B19" s="128">
        <v>65.432000000000002</v>
      </c>
      <c r="C19" s="111">
        <v>18419380</v>
      </c>
      <c r="D19" s="122">
        <f t="shared" si="3"/>
        <v>23458.679748950566</v>
      </c>
      <c r="E19" s="110">
        <v>67.701999999999998</v>
      </c>
      <c r="F19" s="111">
        <v>20558010</v>
      </c>
      <c r="G19" s="112">
        <f>F19/E19/12</f>
        <v>25304.533100942368</v>
      </c>
      <c r="H19" s="110">
        <v>69.415599999999998</v>
      </c>
      <c r="I19" s="111">
        <v>23501490</v>
      </c>
      <c r="J19" s="122">
        <f t="shared" si="4"/>
        <v>28213.506762168734</v>
      </c>
    </row>
    <row r="20" spans="1:10" x14ac:dyDescent="0.25">
      <c r="A20" s="185" t="s">
        <v>26</v>
      </c>
      <c r="B20" s="128">
        <v>144.54</v>
      </c>
      <c r="C20" s="111">
        <v>25537142</v>
      </c>
      <c r="D20" s="122">
        <f t="shared" si="3"/>
        <v>14723.2265578156</v>
      </c>
      <c r="E20" s="110">
        <v>145.49</v>
      </c>
      <c r="F20" s="111">
        <v>28774081</v>
      </c>
      <c r="G20" s="112">
        <f t="shared" ref="G20:G23" si="5">F20/E20/12</f>
        <v>16481.133296675602</v>
      </c>
      <c r="H20" s="110">
        <v>152.071</v>
      </c>
      <c r="I20" s="111">
        <v>32161860</v>
      </c>
      <c r="J20" s="122">
        <f t="shared" si="4"/>
        <v>17624.366249975341</v>
      </c>
    </row>
    <row r="21" spans="1:10" x14ac:dyDescent="0.25">
      <c r="A21" s="185" t="s">
        <v>13</v>
      </c>
      <c r="B21" s="128">
        <v>92.516999999999996</v>
      </c>
      <c r="C21" s="111">
        <v>29421953</v>
      </c>
      <c r="D21" s="122">
        <f t="shared" si="3"/>
        <v>26501.393437602459</v>
      </c>
      <c r="E21" s="110">
        <v>93.783000000000001</v>
      </c>
      <c r="F21" s="111">
        <v>31166054</v>
      </c>
      <c r="G21" s="112">
        <f t="shared" si="5"/>
        <v>27693.4110304284</v>
      </c>
      <c r="H21" s="110">
        <v>94.170100000000005</v>
      </c>
      <c r="I21" s="111">
        <v>35393193</v>
      </c>
      <c r="J21" s="122">
        <f t="shared" si="4"/>
        <v>31320.267792006165</v>
      </c>
    </row>
    <row r="22" spans="1:10" thickBot="1" x14ac:dyDescent="0.35">
      <c r="A22" s="186" t="s">
        <v>15</v>
      </c>
      <c r="B22" s="129">
        <v>26.32</v>
      </c>
      <c r="C22" s="124">
        <v>7760264</v>
      </c>
      <c r="D22" s="122">
        <f t="shared" si="3"/>
        <v>24570.238095238095</v>
      </c>
      <c r="E22" s="123">
        <v>27.375</v>
      </c>
      <c r="F22" s="124">
        <v>8589847</v>
      </c>
      <c r="G22" s="232">
        <f t="shared" si="5"/>
        <v>26148.697108066972</v>
      </c>
      <c r="H22" s="123">
        <v>27.335599999999999</v>
      </c>
      <c r="I22" s="124">
        <v>9748016</v>
      </c>
      <c r="J22" s="269">
        <f t="shared" si="4"/>
        <v>29717.096631011085</v>
      </c>
    </row>
    <row r="23" spans="1:10" thickBot="1" x14ac:dyDescent="0.35">
      <c r="A23" s="187" t="s">
        <v>65</v>
      </c>
      <c r="B23" s="116">
        <f>SUM(B17:B22)</f>
        <v>1355.867</v>
      </c>
      <c r="C23" s="117">
        <f>SUM(C17:C22)</f>
        <v>387265954</v>
      </c>
      <c r="D23" s="125">
        <f>C23/B23/12</f>
        <v>23801.864661750256</v>
      </c>
      <c r="E23" s="116">
        <f>SUM(E17:E22)</f>
        <v>1409.25</v>
      </c>
      <c r="F23" s="117">
        <f>SUM(F17:F22)</f>
        <v>437970316</v>
      </c>
      <c r="G23" s="125">
        <f t="shared" si="5"/>
        <v>25898.546271657502</v>
      </c>
      <c r="H23" s="116">
        <f>SUM(H17:H22)</f>
        <v>1471.1711999999998</v>
      </c>
      <c r="I23" s="117">
        <f>SUM(I17:I22)</f>
        <v>496430710</v>
      </c>
      <c r="J23" s="125">
        <f t="shared" si="4"/>
        <v>28119.926377931639</v>
      </c>
    </row>
    <row r="24" spans="1:10" thickBot="1" x14ac:dyDescent="0.35"/>
    <row r="25" spans="1:10" ht="16.149999999999999" thickBot="1" x14ac:dyDescent="0.35">
      <c r="A25" s="492" t="s">
        <v>70</v>
      </c>
      <c r="B25" s="493"/>
      <c r="C25" s="493"/>
      <c r="D25" s="493"/>
      <c r="E25" s="493"/>
      <c r="F25" s="493"/>
      <c r="G25" s="493"/>
      <c r="H25" s="494"/>
      <c r="I25" s="494"/>
      <c r="J25" s="495"/>
    </row>
    <row r="26" spans="1:10" ht="15.75" thickBot="1" x14ac:dyDescent="0.3">
      <c r="A26" s="481" t="s">
        <v>60</v>
      </c>
      <c r="B26" s="499" t="s">
        <v>83</v>
      </c>
      <c r="C26" s="500"/>
      <c r="D26" s="501"/>
      <c r="E26" s="502" t="s">
        <v>91</v>
      </c>
      <c r="F26" s="503"/>
      <c r="G26" s="504"/>
      <c r="H26" s="499" t="s">
        <v>98</v>
      </c>
      <c r="I26" s="500"/>
      <c r="J26" s="501"/>
    </row>
    <row r="27" spans="1:10" ht="36.75" thickBot="1" x14ac:dyDescent="0.3">
      <c r="A27" s="482"/>
      <c r="B27" s="119" t="s">
        <v>61</v>
      </c>
      <c r="C27" s="120" t="s">
        <v>67</v>
      </c>
      <c r="D27" s="121" t="s">
        <v>63</v>
      </c>
      <c r="E27" s="119" t="s">
        <v>61</v>
      </c>
      <c r="F27" s="120" t="s">
        <v>67</v>
      </c>
      <c r="G27" s="121" t="s">
        <v>63</v>
      </c>
      <c r="H27" s="119" t="s">
        <v>61</v>
      </c>
      <c r="I27" s="120" t="s">
        <v>67</v>
      </c>
      <c r="J27" s="121" t="s">
        <v>63</v>
      </c>
    </row>
    <row r="28" spans="1:10" x14ac:dyDescent="0.25">
      <c r="A28" s="183" t="s">
        <v>24</v>
      </c>
      <c r="B28" s="130">
        <v>305.86599999999999</v>
      </c>
      <c r="C28" s="180">
        <v>81971978</v>
      </c>
      <c r="D28" s="122">
        <f t="shared" ref="D28:D33" si="6">C28/B28/12</f>
        <v>22333.303363782397</v>
      </c>
      <c r="E28" s="110">
        <v>306.62099999999998</v>
      </c>
      <c r="F28" s="111">
        <v>88405628</v>
      </c>
      <c r="G28" s="112">
        <f>F28/E28/12</f>
        <v>24026.846389081853</v>
      </c>
      <c r="H28" s="130">
        <v>314.75200000000001</v>
      </c>
      <c r="I28" s="180">
        <v>99335752</v>
      </c>
      <c r="J28" s="122">
        <f>I28/H28/12</f>
        <v>26300.005506981153</v>
      </c>
    </row>
    <row r="29" spans="1:10" x14ac:dyDescent="0.25">
      <c r="A29" s="184" t="s">
        <v>69</v>
      </c>
      <c r="B29" s="110">
        <v>692.40700000000004</v>
      </c>
      <c r="C29" s="111">
        <v>225941435</v>
      </c>
      <c r="D29" s="122">
        <f t="shared" si="6"/>
        <v>27192.753563535123</v>
      </c>
      <c r="E29" s="110">
        <v>722.46400000000006</v>
      </c>
      <c r="F29" s="111">
        <v>254677933</v>
      </c>
      <c r="G29" s="112">
        <f t="shared" ref="G29:G34" si="7">F29/E29/12</f>
        <v>29376.081138068239</v>
      </c>
      <c r="H29" s="110">
        <v>742.89970000000005</v>
      </c>
      <c r="I29" s="111">
        <v>283849308</v>
      </c>
      <c r="J29" s="122">
        <f t="shared" ref="J29:J34" si="8">I29/H29/12</f>
        <v>31840.245728999482</v>
      </c>
    </row>
    <row r="30" spans="1:10" x14ac:dyDescent="0.25">
      <c r="A30" s="185" t="s">
        <v>25</v>
      </c>
      <c r="B30" s="110">
        <v>60.316000000000003</v>
      </c>
      <c r="C30" s="111">
        <v>16968026</v>
      </c>
      <c r="D30" s="122">
        <f t="shared" si="6"/>
        <v>23443.235073059663</v>
      </c>
      <c r="E30" s="110">
        <v>62.308</v>
      </c>
      <c r="F30" s="111">
        <v>18517194</v>
      </c>
      <c r="G30" s="112">
        <f t="shared" si="7"/>
        <v>24765.672144828914</v>
      </c>
      <c r="H30" s="110">
        <v>62.9758</v>
      </c>
      <c r="I30" s="111">
        <v>20823922</v>
      </c>
      <c r="J30" s="122">
        <f t="shared" si="8"/>
        <v>27555.455164258863</v>
      </c>
    </row>
    <row r="31" spans="1:10" x14ac:dyDescent="0.25">
      <c r="A31" s="185" t="s">
        <v>26</v>
      </c>
      <c r="B31" s="110">
        <v>156.94399999999999</v>
      </c>
      <c r="C31" s="111">
        <v>28790540</v>
      </c>
      <c r="D31" s="122">
        <f t="shared" si="6"/>
        <v>15287.05568015768</v>
      </c>
      <c r="E31" s="110">
        <v>156.376</v>
      </c>
      <c r="F31" s="111">
        <v>31547007</v>
      </c>
      <c r="G31" s="112">
        <f t="shared" si="7"/>
        <v>16811.513595436638</v>
      </c>
      <c r="H31" s="110">
        <v>155.61439999999999</v>
      </c>
      <c r="I31" s="111">
        <v>35115651</v>
      </c>
      <c r="J31" s="122">
        <f t="shared" si="8"/>
        <v>18804.842289659569</v>
      </c>
    </row>
    <row r="32" spans="1:10" x14ac:dyDescent="0.25">
      <c r="A32" s="185" t="s">
        <v>13</v>
      </c>
      <c r="B32" s="110">
        <v>113.84399999999999</v>
      </c>
      <c r="C32" s="111">
        <v>40778720</v>
      </c>
      <c r="D32" s="122">
        <f t="shared" si="6"/>
        <v>29849.853015237226</v>
      </c>
      <c r="E32" s="110">
        <v>114.517</v>
      </c>
      <c r="F32" s="111">
        <v>44033254</v>
      </c>
      <c r="G32" s="112">
        <f t="shared" si="7"/>
        <v>32042.734557605712</v>
      </c>
      <c r="H32" s="110">
        <v>113.6942</v>
      </c>
      <c r="I32" s="111">
        <v>47464026</v>
      </c>
      <c r="J32" s="122">
        <f t="shared" si="8"/>
        <v>34789.246065322593</v>
      </c>
    </row>
    <row r="33" spans="1:10" thickBot="1" x14ac:dyDescent="0.35">
      <c r="A33" s="186" t="s">
        <v>15</v>
      </c>
      <c r="B33" s="123">
        <v>24.675999999999998</v>
      </c>
      <c r="C33" s="124">
        <v>8368254.0000000009</v>
      </c>
      <c r="D33" s="122">
        <f t="shared" si="6"/>
        <v>28260.435240719733</v>
      </c>
      <c r="E33" s="123">
        <v>24.539000000000001</v>
      </c>
      <c r="F33" s="124">
        <v>9033456</v>
      </c>
      <c r="G33" s="232">
        <f t="shared" si="7"/>
        <v>30677.20771017564</v>
      </c>
      <c r="H33" s="123">
        <v>25.881799999999998</v>
      </c>
      <c r="I33" s="124">
        <v>9988992</v>
      </c>
      <c r="J33" s="269">
        <f t="shared" si="8"/>
        <v>32162.214374579824</v>
      </c>
    </row>
    <row r="34" spans="1:10" thickBot="1" x14ac:dyDescent="0.35">
      <c r="A34" s="187" t="s">
        <v>65</v>
      </c>
      <c r="B34" s="116">
        <f>SUM(B28:B33)</f>
        <v>1354.0529999999999</v>
      </c>
      <c r="C34" s="117">
        <f>SUM(C28:C33)</f>
        <v>402818953</v>
      </c>
      <c r="D34" s="125">
        <f>C34/B34/12</f>
        <v>24790.939559480565</v>
      </c>
      <c r="E34" s="116">
        <f>SUM(E28:E33)</f>
        <v>1386.825</v>
      </c>
      <c r="F34" s="229">
        <f>SUM(F28:F33)</f>
        <v>446214472</v>
      </c>
      <c r="G34" s="125">
        <f t="shared" si="7"/>
        <v>26812.712010046929</v>
      </c>
      <c r="H34" s="116">
        <f>SUM(H28:H33)</f>
        <v>1415.8179</v>
      </c>
      <c r="I34" s="229">
        <f>SUM(I28:I33)</f>
        <v>496577651</v>
      </c>
      <c r="J34" s="117">
        <f t="shared" si="8"/>
        <v>29227.961390138284</v>
      </c>
    </row>
    <row r="35" spans="1:10" thickBot="1" x14ac:dyDescent="0.35"/>
    <row r="36" spans="1:10" ht="15.75" thickBot="1" x14ac:dyDescent="0.3">
      <c r="A36" s="510" t="s">
        <v>71</v>
      </c>
      <c r="B36" s="512" t="s">
        <v>83</v>
      </c>
      <c r="C36" s="513"/>
      <c r="D36" s="514"/>
      <c r="E36" s="507" t="s">
        <v>91</v>
      </c>
      <c r="F36" s="508"/>
      <c r="G36" s="509"/>
      <c r="H36" s="507" t="s">
        <v>98</v>
      </c>
      <c r="I36" s="508"/>
      <c r="J36" s="509"/>
    </row>
    <row r="37" spans="1:10" ht="15.75" thickBot="1" x14ac:dyDescent="0.3">
      <c r="A37" s="511"/>
      <c r="B37" s="132">
        <f>B12+B23+B34</f>
        <v>4257.335</v>
      </c>
      <c r="C37" s="133">
        <f>C12+C23+C34</f>
        <v>1235243332</v>
      </c>
      <c r="D37" s="134">
        <f>C37/B37/12</f>
        <v>24178.727850482363</v>
      </c>
      <c r="E37" s="233">
        <f>E12+E23+E34</f>
        <v>4395.6480000000001</v>
      </c>
      <c r="F37" s="234">
        <f>F12+F23+F34</f>
        <v>1384057105</v>
      </c>
      <c r="G37" s="236">
        <f>F37/E37/12</f>
        <v>26239.155656534218</v>
      </c>
      <c r="H37" s="233">
        <f>H12+H23+H34</f>
        <v>4580.7011000000002</v>
      </c>
      <c r="I37" s="234">
        <f>I12+I23+I34</f>
        <v>1563219173.3699999</v>
      </c>
      <c r="J37" s="236">
        <f>I37/H37/12</f>
        <v>28438.499173740016</v>
      </c>
    </row>
  </sheetData>
  <mergeCells count="19">
    <mergeCell ref="H36:J36"/>
    <mergeCell ref="A4:A5"/>
    <mergeCell ref="H4:J4"/>
    <mergeCell ref="B4:D4"/>
    <mergeCell ref="E4:G4"/>
    <mergeCell ref="E36:G36"/>
    <mergeCell ref="A36:A37"/>
    <mergeCell ref="B36:D36"/>
    <mergeCell ref="A3:J3"/>
    <mergeCell ref="H15:J15"/>
    <mergeCell ref="B15:D15"/>
    <mergeCell ref="A26:A27"/>
    <mergeCell ref="H26:J26"/>
    <mergeCell ref="B26:D26"/>
    <mergeCell ref="A25:J25"/>
    <mergeCell ref="E15:G15"/>
    <mergeCell ref="E26:G26"/>
    <mergeCell ref="A15:A16"/>
    <mergeCell ref="A14:J14"/>
  </mergeCells>
  <pageMargins left="0.23622047244094491" right="0.23622047244094491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5"/>
  <sheetViews>
    <sheetView workbookViewId="0">
      <selection activeCell="I24" sqref="I24"/>
    </sheetView>
  </sheetViews>
  <sheetFormatPr defaultColWidth="9.140625" defaultRowHeight="15" x14ac:dyDescent="0.25"/>
  <cols>
    <col min="1" max="1" width="13.5703125" style="182" customWidth="1"/>
    <col min="2" max="2" width="12.140625" style="2" customWidth="1"/>
    <col min="3" max="3" width="14.140625" style="2" customWidth="1"/>
    <col min="4" max="4" width="12.140625" style="2" customWidth="1"/>
    <col min="5" max="5" width="9.140625" style="1"/>
    <col min="6" max="6" width="13.140625" style="1" customWidth="1"/>
    <col min="7" max="7" width="11.85546875" style="1" customWidth="1"/>
    <col min="8" max="8" width="13" style="1" customWidth="1"/>
    <col min="9" max="9" width="12.7109375" style="1" customWidth="1"/>
    <col min="10" max="16384" width="9.140625" style="1"/>
  </cols>
  <sheetData>
    <row r="3" spans="1:10" x14ac:dyDescent="0.25">
      <c r="A3" s="222" t="s">
        <v>93</v>
      </c>
      <c r="B3" s="223"/>
      <c r="C3" s="223"/>
      <c r="D3" s="223"/>
    </row>
    <row r="4" spans="1:10" thickBot="1" x14ac:dyDescent="0.35"/>
    <row r="5" spans="1:10" ht="15.75" thickBot="1" x14ac:dyDescent="0.3">
      <c r="A5" s="515" t="s">
        <v>60</v>
      </c>
      <c r="B5" s="471" t="s">
        <v>83</v>
      </c>
      <c r="C5" s="472"/>
      <c r="D5" s="473"/>
      <c r="E5" s="483" t="s">
        <v>91</v>
      </c>
      <c r="F5" s="484"/>
      <c r="G5" s="485"/>
      <c r="H5" s="483" t="s">
        <v>98</v>
      </c>
      <c r="I5" s="484"/>
      <c r="J5" s="485"/>
    </row>
    <row r="6" spans="1:10" ht="15" customHeight="1" x14ac:dyDescent="0.25">
      <c r="A6" s="499"/>
      <c r="B6" s="486" t="s">
        <v>61</v>
      </c>
      <c r="C6" s="488" t="s">
        <v>62</v>
      </c>
      <c r="D6" s="490" t="s">
        <v>63</v>
      </c>
      <c r="E6" s="517" t="s">
        <v>61</v>
      </c>
      <c r="F6" s="476" t="s">
        <v>62</v>
      </c>
      <c r="G6" s="519" t="s">
        <v>63</v>
      </c>
      <c r="H6" s="474" t="s">
        <v>61</v>
      </c>
      <c r="I6" s="476" t="s">
        <v>62</v>
      </c>
      <c r="J6" s="478" t="s">
        <v>63</v>
      </c>
    </row>
    <row r="7" spans="1:10" ht="32.25" customHeight="1" thickBot="1" x14ac:dyDescent="0.3">
      <c r="A7" s="516"/>
      <c r="B7" s="487"/>
      <c r="C7" s="489"/>
      <c r="D7" s="491" t="s">
        <v>64</v>
      </c>
      <c r="E7" s="518"/>
      <c r="F7" s="477"/>
      <c r="G7" s="520"/>
      <c r="H7" s="475"/>
      <c r="I7" s="477"/>
      <c r="J7" s="479"/>
    </row>
    <row r="8" spans="1:10" x14ac:dyDescent="0.25">
      <c r="A8" s="399" t="s">
        <v>13</v>
      </c>
      <c r="B8" s="409">
        <f>'16'!B7+'16'!B22+'16'!B37</f>
        <v>50.832999999999998</v>
      </c>
      <c r="C8" s="135">
        <f>'16'!C7+'16'!C22+'16'!C37</f>
        <v>16295023</v>
      </c>
      <c r="D8" s="136">
        <f>C8/B8/12</f>
        <v>26713.327628377894</v>
      </c>
      <c r="E8" s="412">
        <v>48.795999999999999</v>
      </c>
      <c r="F8" s="127">
        <v>16542644</v>
      </c>
      <c r="G8" s="401">
        <f>F8/E8/12</f>
        <v>28251.366232204829</v>
      </c>
      <c r="H8" s="417">
        <f>'16'!H7</f>
        <v>24.4741</v>
      </c>
      <c r="I8" s="267">
        <f>'16'!I7</f>
        <v>9137965</v>
      </c>
      <c r="J8" s="122">
        <f>I8/H8/12</f>
        <v>31114.405977475511</v>
      </c>
    </row>
    <row r="9" spans="1:10" x14ac:dyDescent="0.25">
      <c r="A9" s="400" t="s">
        <v>9</v>
      </c>
      <c r="B9" s="409">
        <f>'16'!B8+'16'!B23+'16'!B38</f>
        <v>1164.98</v>
      </c>
      <c r="C9" s="135">
        <f>'16'!C8+'16'!C23+'16'!C38</f>
        <v>387576316</v>
      </c>
      <c r="D9" s="136">
        <f t="shared" ref="D9:D17" si="0">C9/B9/12</f>
        <v>27724.103704212375</v>
      </c>
      <c r="E9" s="413">
        <v>1162.3710000000001</v>
      </c>
      <c r="F9" s="111">
        <v>412751450</v>
      </c>
      <c r="G9" s="401">
        <f t="shared" ref="G9:G21" si="1">F9/E9/12</f>
        <v>29591.201231505827</v>
      </c>
      <c r="H9" s="418">
        <f>'16'!H8+'16'!H23+'16'!H38</f>
        <v>1148.4140000000002</v>
      </c>
      <c r="I9" s="266">
        <f>'16'!I8+'16'!I23+'16'!I38</f>
        <v>456266709</v>
      </c>
      <c r="J9" s="122">
        <f t="shared" ref="J9:J17" si="2">I9/H9/12</f>
        <v>33108.46589296194</v>
      </c>
    </row>
    <row r="10" spans="1:10" x14ac:dyDescent="0.25">
      <c r="A10" s="400" t="s">
        <v>10</v>
      </c>
      <c r="B10" s="409">
        <f>'16'!B9+'16'!B24+'16'!B39</f>
        <v>31.905999999999999</v>
      </c>
      <c r="C10" s="135">
        <f>'16'!C9+'16'!C24+'16'!C39</f>
        <v>11300797</v>
      </c>
      <c r="D10" s="136">
        <f t="shared" si="0"/>
        <v>29515.86169790426</v>
      </c>
      <c r="E10" s="413">
        <v>31.632999999999999</v>
      </c>
      <c r="F10" s="111">
        <v>11541608</v>
      </c>
      <c r="G10" s="401">
        <f t="shared" si="1"/>
        <v>30404.977923898041</v>
      </c>
      <c r="H10" s="418">
        <f>'16'!H9+'16'!H24+'16'!H39</f>
        <v>27.335899999999999</v>
      </c>
      <c r="I10" s="266">
        <f>'16'!I9+'16'!I39</f>
        <v>11572796</v>
      </c>
      <c r="J10" s="122">
        <f t="shared" si="2"/>
        <v>35279.601793490125</v>
      </c>
    </row>
    <row r="11" spans="1:10" x14ac:dyDescent="0.25">
      <c r="A11" s="184" t="s">
        <v>72</v>
      </c>
      <c r="B11" s="409">
        <f>'16'!B10+'16'!B25+'16'!B40</f>
        <v>77.957999999999998</v>
      </c>
      <c r="C11" s="135">
        <f>'16'!C10+'16'!C25+'16'!C40</f>
        <v>27253687.000000004</v>
      </c>
      <c r="D11" s="136">
        <f t="shared" si="0"/>
        <v>29132.873897910846</v>
      </c>
      <c r="E11" s="414">
        <v>75.730999999999995</v>
      </c>
      <c r="F11" s="266">
        <v>27372180</v>
      </c>
      <c r="G11" s="401">
        <f t="shared" si="1"/>
        <v>30119.964083400457</v>
      </c>
      <c r="H11" s="419">
        <v>108.946</v>
      </c>
      <c r="I11" s="266">
        <v>42308015</v>
      </c>
      <c r="J11" s="122">
        <f t="shared" si="2"/>
        <v>32361.609574162125</v>
      </c>
    </row>
    <row r="12" spans="1:10" ht="14.45" x14ac:dyDescent="0.3">
      <c r="A12" s="400" t="s">
        <v>73</v>
      </c>
      <c r="B12" s="409">
        <f>'16'!B11+'16'!B26+'16'!B41</f>
        <v>49.287999999999997</v>
      </c>
      <c r="C12" s="135">
        <f>'16'!C11+'16'!C26+'16'!C41</f>
        <v>16578207.999999998</v>
      </c>
      <c r="D12" s="136">
        <f t="shared" si="0"/>
        <v>28029.486555212894</v>
      </c>
      <c r="E12" s="413">
        <v>49.667999999999999</v>
      </c>
      <c r="F12" s="111">
        <v>17911242</v>
      </c>
      <c r="G12" s="401">
        <f t="shared" si="1"/>
        <v>30051.612708383665</v>
      </c>
      <c r="H12" s="418">
        <v>50.936</v>
      </c>
      <c r="I12" s="266">
        <f>'16'!I11</f>
        <v>20302333</v>
      </c>
      <c r="J12" s="122">
        <f t="shared" si="2"/>
        <v>33215.428838804255</v>
      </c>
    </row>
    <row r="13" spans="1:10" ht="14.45" x14ac:dyDescent="0.3">
      <c r="A13" s="400" t="s">
        <v>12</v>
      </c>
      <c r="B13" s="409">
        <f>'16'!B12+'16'!B27+'16'!B42</f>
        <v>94.387000000000015</v>
      </c>
      <c r="C13" s="135">
        <f>'16'!C12+'16'!C27+'16'!C42</f>
        <v>25249179</v>
      </c>
      <c r="D13" s="136">
        <f t="shared" si="0"/>
        <v>22292.246283916214</v>
      </c>
      <c r="E13" s="413">
        <v>98.471999999999994</v>
      </c>
      <c r="F13" s="111">
        <v>27819813</v>
      </c>
      <c r="G13" s="401">
        <f t="shared" si="1"/>
        <v>23542.913213908523</v>
      </c>
      <c r="H13" s="418">
        <f>'16'!H12+'16'!H27+'16'!H42</f>
        <v>96.876400000000004</v>
      </c>
      <c r="I13" s="266">
        <f>'16'!I12+'16'!I27+'16'!I42</f>
        <v>30667302</v>
      </c>
      <c r="J13" s="122">
        <f t="shared" si="2"/>
        <v>26380.093603808564</v>
      </c>
    </row>
    <row r="14" spans="1:10" ht="14.45" x14ac:dyDescent="0.3">
      <c r="A14" s="400" t="s">
        <v>15</v>
      </c>
      <c r="B14" s="409">
        <f>'16'!B13+'16'!B28+'16'!B43</f>
        <v>10.305999999999999</v>
      </c>
      <c r="C14" s="135">
        <f>'16'!C13+'16'!C28+'16'!C43</f>
        <v>3072039</v>
      </c>
      <c r="D14" s="136">
        <f t="shared" si="0"/>
        <v>24840.214438191349</v>
      </c>
      <c r="E14" s="413">
        <v>8.1319999999999997</v>
      </c>
      <c r="F14" s="111">
        <v>2152033</v>
      </c>
      <c r="G14" s="401">
        <f t="shared" si="1"/>
        <v>22053.133710444337</v>
      </c>
      <c r="H14" s="418">
        <v>0</v>
      </c>
      <c r="I14" s="266">
        <v>0</v>
      </c>
      <c r="J14" s="122">
        <v>0</v>
      </c>
    </row>
    <row r="15" spans="1:10" x14ac:dyDescent="0.25">
      <c r="A15" s="400" t="s">
        <v>31</v>
      </c>
      <c r="B15" s="409">
        <f>'16'!B14+'16'!B29+'16'!B44</f>
        <v>9.0779999999999994</v>
      </c>
      <c r="C15" s="135">
        <f>'16'!C14+'16'!C29+'16'!C44</f>
        <v>2696674</v>
      </c>
      <c r="D15" s="136">
        <f t="shared" si="0"/>
        <v>24754.663288536391</v>
      </c>
      <c r="E15" s="413">
        <v>10.71</v>
      </c>
      <c r="F15" s="111">
        <v>3423115</v>
      </c>
      <c r="G15" s="401">
        <f t="shared" si="1"/>
        <v>26634.881730469962</v>
      </c>
      <c r="H15" s="418">
        <f>'16'!H14</f>
        <v>13.033799999999999</v>
      </c>
      <c r="I15" s="266">
        <f>'16'!I14</f>
        <v>4044283</v>
      </c>
      <c r="J15" s="122">
        <f t="shared" si="2"/>
        <v>25857.66110676344</v>
      </c>
    </row>
    <row r="16" spans="1:10" ht="14.45" x14ac:dyDescent="0.3">
      <c r="A16" s="400" t="s">
        <v>74</v>
      </c>
      <c r="B16" s="409">
        <f>'16'!B15+'16'!B30+'16'!B45</f>
        <v>147.28700000000001</v>
      </c>
      <c r="C16" s="135">
        <f>'16'!C15+'16'!C30+'16'!C45</f>
        <v>43076909</v>
      </c>
      <c r="D16" s="136">
        <f t="shared" si="0"/>
        <v>24372.432167582112</v>
      </c>
      <c r="E16" s="413">
        <v>148.697</v>
      </c>
      <c r="F16" s="111">
        <v>46425492</v>
      </c>
      <c r="G16" s="401">
        <f t="shared" si="1"/>
        <v>26017.949252506776</v>
      </c>
      <c r="H16" s="418">
        <f>'16'!H15+'16'!H30+'16'!H45</f>
        <v>148.7157</v>
      </c>
      <c r="I16" s="266">
        <f>'16'!I15+'16'!I45</f>
        <v>51389022</v>
      </c>
      <c r="J16" s="122">
        <f t="shared" si="2"/>
        <v>28796.008087915397</v>
      </c>
    </row>
    <row r="17" spans="1:10" x14ac:dyDescent="0.25">
      <c r="A17" s="394" t="s">
        <v>26</v>
      </c>
      <c r="B17" s="409">
        <f>'16'!B16+'16'!B31+'16'!B46</f>
        <v>51.653000000000006</v>
      </c>
      <c r="C17" s="135">
        <f>'16'!C16+'16'!C31+'16'!C46</f>
        <v>9863717</v>
      </c>
      <c r="D17" s="136">
        <f t="shared" si="0"/>
        <v>15913.430326731585</v>
      </c>
      <c r="E17" s="413">
        <v>52.33</v>
      </c>
      <c r="F17" s="111">
        <v>10313848</v>
      </c>
      <c r="G17" s="401">
        <f t="shared" si="1"/>
        <v>16424.370979043251</v>
      </c>
      <c r="H17" s="418">
        <f>'16'!H16+'16'!H31+'16'!H46</f>
        <v>54.925799999999995</v>
      </c>
      <c r="I17" s="266">
        <f>'16'!I16+'16'!I31+'16'!I46</f>
        <v>12849076</v>
      </c>
      <c r="J17" s="122">
        <f t="shared" si="2"/>
        <v>19494.596953222954</v>
      </c>
    </row>
    <row r="18" spans="1:10" x14ac:dyDescent="0.2">
      <c r="A18" s="394" t="s">
        <v>94</v>
      </c>
      <c r="B18" s="410" t="s">
        <v>116</v>
      </c>
      <c r="C18" s="405" t="s">
        <v>116</v>
      </c>
      <c r="D18" s="406" t="s">
        <v>116</v>
      </c>
      <c r="E18" s="415">
        <v>3.6949999999999998</v>
      </c>
      <c r="F18" s="227">
        <v>784999</v>
      </c>
      <c r="G18" s="402">
        <f t="shared" si="1"/>
        <v>17704.082092918357</v>
      </c>
      <c r="H18" s="410" t="s">
        <v>116</v>
      </c>
      <c r="I18" s="268" t="s">
        <v>116</v>
      </c>
      <c r="J18" s="422" t="s">
        <v>116</v>
      </c>
    </row>
    <row r="19" spans="1:10" ht="24" x14ac:dyDescent="0.2">
      <c r="A19" s="395" t="s">
        <v>95</v>
      </c>
      <c r="B19" s="410" t="s">
        <v>116</v>
      </c>
      <c r="C19" s="405" t="s">
        <v>116</v>
      </c>
      <c r="D19" s="406" t="s">
        <v>116</v>
      </c>
      <c r="E19" s="415">
        <v>14.276</v>
      </c>
      <c r="F19" s="227">
        <v>5592237</v>
      </c>
      <c r="G19" s="402">
        <f t="shared" si="1"/>
        <v>32643.580134491454</v>
      </c>
      <c r="H19" s="410" t="s">
        <v>116</v>
      </c>
      <c r="I19" s="268" t="s">
        <v>116</v>
      </c>
      <c r="J19" s="422" t="s">
        <v>116</v>
      </c>
    </row>
    <row r="20" spans="1:10" ht="15.75" thickBot="1" x14ac:dyDescent="0.25">
      <c r="A20" s="396" t="s">
        <v>8</v>
      </c>
      <c r="B20" s="411" t="s">
        <v>116</v>
      </c>
      <c r="C20" s="407" t="s">
        <v>116</v>
      </c>
      <c r="D20" s="408" t="s">
        <v>116</v>
      </c>
      <c r="E20" s="416">
        <v>4.1150000000000002</v>
      </c>
      <c r="F20" s="228">
        <v>1601475</v>
      </c>
      <c r="G20" s="403">
        <f t="shared" si="1"/>
        <v>32431.652490886994</v>
      </c>
      <c r="H20" s="411" t="s">
        <v>116</v>
      </c>
      <c r="I20" s="404" t="s">
        <v>116</v>
      </c>
      <c r="J20" s="422" t="s">
        <v>116</v>
      </c>
    </row>
    <row r="21" spans="1:10" thickBot="1" x14ac:dyDescent="0.35">
      <c r="A21" s="204" t="s">
        <v>65</v>
      </c>
      <c r="B21" s="397">
        <f>SUM(B8:B17)</f>
        <v>1687.6760000000002</v>
      </c>
      <c r="C21" s="398">
        <f>SUM(C8:C17)</f>
        <v>542962549</v>
      </c>
      <c r="D21" s="230">
        <f>C21/B21/12</f>
        <v>26810.169181367353</v>
      </c>
      <c r="E21" s="116">
        <f>SUM(E8:E20)</f>
        <v>1708.626</v>
      </c>
      <c r="F21" s="229">
        <f>SUM(F8:F20)</f>
        <v>584232136</v>
      </c>
      <c r="G21" s="125">
        <f t="shared" si="1"/>
        <v>28494.247034361721</v>
      </c>
      <c r="H21" s="116">
        <f>SUM(H8:H20)</f>
        <v>1673.6577</v>
      </c>
      <c r="I21" s="229">
        <f>SUM(I8:I20)</f>
        <v>638537501</v>
      </c>
      <c r="J21" s="125">
        <f>I21/H21/12</f>
        <v>31793.513343060931</v>
      </c>
    </row>
    <row r="22" spans="1:10" ht="14.45" x14ac:dyDescent="0.3">
      <c r="A22" s="153"/>
      <c r="B22" s="171"/>
      <c r="C22" s="172"/>
      <c r="D22" s="154"/>
    </row>
    <row r="23" spans="1:10" ht="14.45" x14ac:dyDescent="0.3">
      <c r="A23" s="153"/>
      <c r="B23" s="154"/>
      <c r="C23" s="195"/>
      <c r="D23" s="154"/>
    </row>
    <row r="24" spans="1:10" ht="14.45" x14ac:dyDescent="0.3">
      <c r="B24" s="196"/>
      <c r="C24" s="131"/>
      <c r="D24" s="131"/>
    </row>
    <row r="25" spans="1:10" ht="14.45" x14ac:dyDescent="0.3">
      <c r="B25" s="197"/>
      <c r="C25" s="198"/>
      <c r="D25" s="198"/>
    </row>
  </sheetData>
  <mergeCells count="13">
    <mergeCell ref="H5:J5"/>
    <mergeCell ref="H6:H7"/>
    <mergeCell ref="I6:I7"/>
    <mergeCell ref="J6:J7"/>
    <mergeCell ref="A5:A7"/>
    <mergeCell ref="B5:D5"/>
    <mergeCell ref="E5:G5"/>
    <mergeCell ref="E6:E7"/>
    <mergeCell ref="F6:F7"/>
    <mergeCell ref="G6:G7"/>
    <mergeCell ref="B6:B7"/>
    <mergeCell ref="C6:C7"/>
    <mergeCell ref="D6:D7"/>
  </mergeCell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36" workbookViewId="0">
      <selection activeCell="J54" sqref="J54"/>
    </sheetView>
  </sheetViews>
  <sheetFormatPr defaultColWidth="9.140625" defaultRowHeight="15" x14ac:dyDescent="0.25"/>
  <cols>
    <col min="1" max="1" width="15.85546875" style="182" customWidth="1"/>
    <col min="2" max="2" width="8.5703125" style="1" customWidth="1"/>
    <col min="3" max="3" width="9.5703125" style="1" customWidth="1"/>
    <col min="4" max="4" width="10.7109375" style="1" customWidth="1"/>
    <col min="5" max="5" width="9.28515625" style="1" bestFit="1" customWidth="1"/>
    <col min="6" max="6" width="10.140625" style="1" customWidth="1"/>
    <col min="7" max="7" width="8.28515625" style="1" customWidth="1"/>
    <col min="8" max="8" width="9.140625" style="1"/>
    <col min="9" max="9" width="10" style="1" bestFit="1" customWidth="1"/>
    <col min="10" max="10" width="9.28515625" style="1" customWidth="1"/>
    <col min="11" max="16384" width="9.140625" style="1"/>
  </cols>
  <sheetData>
    <row r="1" spans="1:10" ht="10.5" customHeight="1" x14ac:dyDescent="0.3">
      <c r="A1" s="181" t="s">
        <v>1</v>
      </c>
    </row>
    <row r="2" spans="1:10" ht="36.75" customHeight="1" x14ac:dyDescent="0.25">
      <c r="A2" s="222" t="s">
        <v>75</v>
      </c>
      <c r="B2" s="223"/>
      <c r="C2" s="223"/>
      <c r="D2" s="223"/>
    </row>
    <row r="3" spans="1:10" thickBot="1" x14ac:dyDescent="0.35">
      <c r="A3" s="179"/>
      <c r="D3" s="1" t="s">
        <v>1</v>
      </c>
    </row>
    <row r="4" spans="1:10" ht="16.149999999999999" thickBot="1" x14ac:dyDescent="0.35">
      <c r="A4" s="492" t="s">
        <v>66</v>
      </c>
      <c r="B4" s="493"/>
      <c r="C4" s="493"/>
      <c r="D4" s="493"/>
      <c r="E4" s="493"/>
      <c r="F4" s="493"/>
      <c r="G4" s="493"/>
      <c r="H4" s="494"/>
      <c r="I4" s="494"/>
      <c r="J4" s="495"/>
    </row>
    <row r="5" spans="1:10" ht="15.75" thickBot="1" x14ac:dyDescent="0.3">
      <c r="A5" s="480" t="s">
        <v>60</v>
      </c>
      <c r="B5" s="496" t="s">
        <v>83</v>
      </c>
      <c r="C5" s="497"/>
      <c r="D5" s="498"/>
      <c r="E5" s="525" t="s">
        <v>91</v>
      </c>
      <c r="F5" s="526"/>
      <c r="G5" s="527"/>
      <c r="H5" s="496" t="s">
        <v>98</v>
      </c>
      <c r="I5" s="497"/>
      <c r="J5" s="498"/>
    </row>
    <row r="6" spans="1:10" ht="75.75" thickBot="1" x14ac:dyDescent="0.3">
      <c r="A6" s="481"/>
      <c r="B6" s="137" t="s">
        <v>61</v>
      </c>
      <c r="C6" s="138" t="s">
        <v>67</v>
      </c>
      <c r="D6" s="139" t="s">
        <v>63</v>
      </c>
      <c r="E6" s="246" t="s">
        <v>61</v>
      </c>
      <c r="F6" s="247" t="s">
        <v>67</v>
      </c>
      <c r="G6" s="248" t="s">
        <v>63</v>
      </c>
      <c r="H6" s="137" t="s">
        <v>61</v>
      </c>
      <c r="I6" s="138" t="s">
        <v>67</v>
      </c>
      <c r="J6" s="279" t="s">
        <v>63</v>
      </c>
    </row>
    <row r="7" spans="1:10" x14ac:dyDescent="0.25">
      <c r="A7" s="183" t="s">
        <v>13</v>
      </c>
      <c r="B7" s="140">
        <v>50.832999999999998</v>
      </c>
      <c r="C7" s="141">
        <v>16295023</v>
      </c>
      <c r="D7" s="142">
        <f t="shared" ref="D7:D16" si="0">C7/B7/12</f>
        <v>26713.327628377894</v>
      </c>
      <c r="E7" s="237">
        <v>48.795999999999999</v>
      </c>
      <c r="F7" s="238">
        <v>16542644</v>
      </c>
      <c r="G7" s="239">
        <f>F7/E7/12</f>
        <v>28251.366232204829</v>
      </c>
      <c r="H7" s="140">
        <v>24.4741</v>
      </c>
      <c r="I7" s="141">
        <v>9137965</v>
      </c>
      <c r="J7" s="142">
        <f>I7/H7/12</f>
        <v>31114.405977475511</v>
      </c>
    </row>
    <row r="8" spans="1:10" x14ac:dyDescent="0.25">
      <c r="A8" s="185" t="s">
        <v>9</v>
      </c>
      <c r="B8" s="143">
        <v>568.96800000000007</v>
      </c>
      <c r="C8" s="40">
        <v>193144833</v>
      </c>
      <c r="D8" s="41">
        <f t="shared" si="0"/>
        <v>28288.766239929129</v>
      </c>
      <c r="E8" s="237">
        <v>568.30899999999997</v>
      </c>
      <c r="F8" s="238">
        <v>205343798</v>
      </c>
      <c r="G8" s="239">
        <f t="shared" ref="G8:G17" si="1">F8/E8/12</f>
        <v>30110.350472483577</v>
      </c>
      <c r="H8" s="143">
        <v>548.97450000000003</v>
      </c>
      <c r="I8" s="40">
        <v>222365210</v>
      </c>
      <c r="J8" s="41">
        <f t="shared" ref="J8:J17" si="2">I8/H8/12</f>
        <v>33754.635537109039</v>
      </c>
    </row>
    <row r="9" spans="1:10" x14ac:dyDescent="0.25">
      <c r="A9" s="185" t="s">
        <v>10</v>
      </c>
      <c r="B9" s="143">
        <v>26.97</v>
      </c>
      <c r="C9" s="40">
        <v>9588403</v>
      </c>
      <c r="D9" s="41">
        <f t="shared" si="0"/>
        <v>29626.755036460265</v>
      </c>
      <c r="E9" s="237">
        <v>27.382999999999999</v>
      </c>
      <c r="F9" s="238">
        <v>10049381</v>
      </c>
      <c r="G9" s="239">
        <f t="shared" si="1"/>
        <v>30582.785548211177</v>
      </c>
      <c r="H9" s="143">
        <v>24.818999999999999</v>
      </c>
      <c r="I9" s="40">
        <v>10547743</v>
      </c>
      <c r="J9" s="41">
        <f t="shared" si="2"/>
        <v>35415.551929301473</v>
      </c>
    </row>
    <row r="10" spans="1:10" x14ac:dyDescent="0.25">
      <c r="A10" s="188" t="s">
        <v>72</v>
      </c>
      <c r="B10" s="143">
        <v>72.457999999999998</v>
      </c>
      <c r="C10" s="40">
        <v>25046050.000000004</v>
      </c>
      <c r="D10" s="41">
        <f t="shared" si="0"/>
        <v>28805.250397931683</v>
      </c>
      <c r="E10" s="237">
        <v>75.730999999999995</v>
      </c>
      <c r="F10" s="238">
        <v>27372180</v>
      </c>
      <c r="G10" s="239">
        <f t="shared" si="1"/>
        <v>30119.964083400457</v>
      </c>
      <c r="H10" s="420">
        <f>H17-H7-H8-H9-H11-H12-H13-H14-H15-H16</f>
        <v>103.56179999999981</v>
      </c>
      <c r="I10" s="40">
        <f>I17-I7-I8-I9-I11-I12-I13-I14-I15-I16</f>
        <v>39733838</v>
      </c>
      <c r="J10" s="41">
        <f t="shared" si="2"/>
        <v>31972.727073753766</v>
      </c>
    </row>
    <row r="11" spans="1:10" ht="14.45" x14ac:dyDescent="0.3">
      <c r="A11" s="185" t="s">
        <v>73</v>
      </c>
      <c r="B11" s="143">
        <v>49.287999999999997</v>
      </c>
      <c r="C11" s="40">
        <v>16578207.999999998</v>
      </c>
      <c r="D11" s="41">
        <f t="shared" si="0"/>
        <v>28029.486555212894</v>
      </c>
      <c r="E11" s="237">
        <v>49.667999999999999</v>
      </c>
      <c r="F11" s="238">
        <v>17911242</v>
      </c>
      <c r="G11" s="239">
        <f t="shared" si="1"/>
        <v>30051.612708383665</v>
      </c>
      <c r="H11" s="143">
        <v>50.935899999999997</v>
      </c>
      <c r="I11" s="40">
        <v>20302333</v>
      </c>
      <c r="J11" s="41">
        <f t="shared" si="2"/>
        <v>33215.494049056426</v>
      </c>
    </row>
    <row r="12" spans="1:10" ht="14.45" x14ac:dyDescent="0.3">
      <c r="A12" s="185" t="s">
        <v>12</v>
      </c>
      <c r="B12" s="143">
        <v>58.651000000000003</v>
      </c>
      <c r="C12" s="40">
        <v>15826786</v>
      </c>
      <c r="D12" s="41">
        <f t="shared" si="0"/>
        <v>22487.235227589186</v>
      </c>
      <c r="E12" s="237">
        <v>61.58</v>
      </c>
      <c r="F12" s="238">
        <v>17718160</v>
      </c>
      <c r="G12" s="239">
        <f t="shared" si="1"/>
        <v>23977.157085633866</v>
      </c>
      <c r="H12" s="143">
        <v>61.663400000000003</v>
      </c>
      <c r="I12" s="40">
        <v>19432889</v>
      </c>
      <c r="J12" s="41">
        <f t="shared" si="2"/>
        <v>26262.051989781077</v>
      </c>
    </row>
    <row r="13" spans="1:10" ht="14.45" x14ac:dyDescent="0.3">
      <c r="A13" s="185" t="s">
        <v>15</v>
      </c>
      <c r="B13" s="143">
        <v>10.305999999999999</v>
      </c>
      <c r="C13" s="40">
        <v>3072039</v>
      </c>
      <c r="D13" s="41">
        <f t="shared" si="0"/>
        <v>24840.214438191349</v>
      </c>
      <c r="E13" s="237">
        <v>8.1319999999999997</v>
      </c>
      <c r="F13" s="238">
        <v>2152033</v>
      </c>
      <c r="G13" s="239">
        <f t="shared" si="1"/>
        <v>22053.133710444337</v>
      </c>
      <c r="H13" s="143">
        <v>0</v>
      </c>
      <c r="I13" s="40">
        <v>0</v>
      </c>
      <c r="J13" s="41">
        <v>0</v>
      </c>
    </row>
    <row r="14" spans="1:10" x14ac:dyDescent="0.25">
      <c r="A14" s="185" t="s">
        <v>31</v>
      </c>
      <c r="B14" s="143">
        <v>9.0779999999999994</v>
      </c>
      <c r="C14" s="40">
        <v>2696674</v>
      </c>
      <c r="D14" s="41">
        <f t="shared" si="0"/>
        <v>24754.663288536391</v>
      </c>
      <c r="E14" s="237">
        <v>10.71</v>
      </c>
      <c r="F14" s="238">
        <v>3423115</v>
      </c>
      <c r="G14" s="239">
        <f t="shared" si="1"/>
        <v>26634.881730469962</v>
      </c>
      <c r="H14" s="143">
        <v>13.033799999999999</v>
      </c>
      <c r="I14" s="40">
        <v>4044283</v>
      </c>
      <c r="J14" s="41">
        <f t="shared" si="2"/>
        <v>25857.66110676344</v>
      </c>
    </row>
    <row r="15" spans="1:10" ht="14.45" x14ac:dyDescent="0.3">
      <c r="A15" s="185" t="s">
        <v>74</v>
      </c>
      <c r="B15" s="143">
        <v>43.01</v>
      </c>
      <c r="C15" s="40">
        <v>12101570</v>
      </c>
      <c r="D15" s="41">
        <f t="shared" si="0"/>
        <v>23447.202201038523</v>
      </c>
      <c r="E15" s="237">
        <v>57.584000000000003</v>
      </c>
      <c r="F15" s="238">
        <v>18029776</v>
      </c>
      <c r="G15" s="239">
        <f t="shared" si="1"/>
        <v>26091.993146244324</v>
      </c>
      <c r="H15" s="143">
        <v>70.042000000000002</v>
      </c>
      <c r="I15" s="40">
        <v>23833158</v>
      </c>
      <c r="J15" s="41">
        <f t="shared" si="2"/>
        <v>28355.793666657148</v>
      </c>
    </row>
    <row r="16" spans="1:10" ht="15.75" thickBot="1" x14ac:dyDescent="0.3">
      <c r="A16" s="189" t="s">
        <v>26</v>
      </c>
      <c r="B16" s="144">
        <v>26.710999999999999</v>
      </c>
      <c r="C16" s="145">
        <v>5216396</v>
      </c>
      <c r="D16" s="41">
        <f t="shared" si="0"/>
        <v>16274.181672968691</v>
      </c>
      <c r="E16" s="240">
        <v>28.23</v>
      </c>
      <c r="F16" s="241">
        <v>5479050</v>
      </c>
      <c r="G16" s="242">
        <f t="shared" si="1"/>
        <v>16173.839886645414</v>
      </c>
      <c r="H16" s="144">
        <v>27.776700000000002</v>
      </c>
      <c r="I16" s="145">
        <v>6675935</v>
      </c>
      <c r="J16" s="44">
        <f t="shared" si="2"/>
        <v>20028.582108985825</v>
      </c>
    </row>
    <row r="17" spans="1:10" thickBot="1" x14ac:dyDescent="0.35">
      <c r="A17" s="187" t="s">
        <v>65</v>
      </c>
      <c r="B17" s="146">
        <f>SUM(B7:B16)</f>
        <v>916.27300000000002</v>
      </c>
      <c r="C17" s="147">
        <f>SUM(C7:C16)</f>
        <v>299565982</v>
      </c>
      <c r="D17" s="148">
        <f t="shared" ref="D17" si="3">C17/B17/12</f>
        <v>27244.971567789657</v>
      </c>
      <c r="E17" s="243">
        <f>SUM(E7:E16)</f>
        <v>936.12300000000005</v>
      </c>
      <c r="F17" s="244">
        <f>SUM(F7:F16)</f>
        <v>324021379</v>
      </c>
      <c r="G17" s="245">
        <f t="shared" si="1"/>
        <v>28844.266814652918</v>
      </c>
      <c r="H17" s="146">
        <f>H50-H47-H32</f>
        <v>925.2811999999999</v>
      </c>
      <c r="I17" s="147">
        <f>I50-I47-I32</f>
        <v>356073354</v>
      </c>
      <c r="J17" s="280">
        <f t="shared" si="2"/>
        <v>32068.931585338603</v>
      </c>
    </row>
    <row r="18" spans="1:10" thickBot="1" x14ac:dyDescent="0.35"/>
    <row r="19" spans="1:10" ht="16.149999999999999" thickBot="1" x14ac:dyDescent="0.35">
      <c r="A19" s="492" t="s">
        <v>68</v>
      </c>
      <c r="B19" s="493"/>
      <c r="C19" s="493"/>
      <c r="D19" s="493"/>
      <c r="E19" s="493"/>
      <c r="F19" s="493"/>
      <c r="G19" s="493"/>
      <c r="H19" s="494"/>
      <c r="I19" s="494"/>
      <c r="J19" s="495"/>
    </row>
    <row r="20" spans="1:10" ht="15.75" thickBot="1" x14ac:dyDescent="0.3">
      <c r="A20" s="480" t="s">
        <v>60</v>
      </c>
      <c r="B20" s="496" t="s">
        <v>83</v>
      </c>
      <c r="C20" s="497"/>
      <c r="D20" s="498"/>
      <c r="E20" s="522" t="s">
        <v>91</v>
      </c>
      <c r="F20" s="523"/>
      <c r="G20" s="524"/>
      <c r="H20" s="531" t="s">
        <v>98</v>
      </c>
      <c r="I20" s="532"/>
      <c r="J20" s="533"/>
    </row>
    <row r="21" spans="1:10" ht="75.75" thickBot="1" x14ac:dyDescent="0.3">
      <c r="A21" s="482"/>
      <c r="B21" s="137" t="s">
        <v>61</v>
      </c>
      <c r="C21" s="138" t="s">
        <v>67</v>
      </c>
      <c r="D21" s="139" t="s">
        <v>63</v>
      </c>
      <c r="E21" s="137" t="s">
        <v>61</v>
      </c>
      <c r="F21" s="138" t="s">
        <v>67</v>
      </c>
      <c r="G21" s="139" t="s">
        <v>63</v>
      </c>
      <c r="H21" s="137" t="s">
        <v>61</v>
      </c>
      <c r="I21" s="138" t="s">
        <v>67</v>
      </c>
      <c r="J21" s="139" t="s">
        <v>63</v>
      </c>
    </row>
    <row r="22" spans="1:10" x14ac:dyDescent="0.25">
      <c r="A22" s="183" t="s">
        <v>13</v>
      </c>
      <c r="B22" s="140">
        <v>0</v>
      </c>
      <c r="C22" s="141">
        <v>0</v>
      </c>
      <c r="D22" s="142">
        <v>0</v>
      </c>
      <c r="E22" s="237">
        <v>0</v>
      </c>
      <c r="F22" s="238">
        <v>0</v>
      </c>
      <c r="G22" s="239">
        <v>0</v>
      </c>
      <c r="H22" s="140">
        <v>0</v>
      </c>
      <c r="I22" s="141">
        <v>0</v>
      </c>
      <c r="J22" s="142">
        <v>0</v>
      </c>
    </row>
    <row r="23" spans="1:10" x14ac:dyDescent="0.25">
      <c r="A23" s="185" t="s">
        <v>9</v>
      </c>
      <c r="B23" s="143">
        <v>285.166</v>
      </c>
      <c r="C23" s="40">
        <v>94001781.999999985</v>
      </c>
      <c r="D23" s="41">
        <f t="shared" ref="D23:D31" si="4">C23/B23/12</f>
        <v>27469.901156986922</v>
      </c>
      <c r="E23" s="237">
        <v>287.51900000000001</v>
      </c>
      <c r="F23" s="238">
        <v>101114360</v>
      </c>
      <c r="G23" s="239">
        <f>F23/E23/12</f>
        <v>29306.573362687912</v>
      </c>
      <c r="H23" s="143">
        <v>280.92540000000002</v>
      </c>
      <c r="I23" s="40">
        <v>109942839</v>
      </c>
      <c r="J23" s="41">
        <f>I23/H23/12</f>
        <v>32613.296092129793</v>
      </c>
    </row>
    <row r="24" spans="1:10" x14ac:dyDescent="0.25">
      <c r="A24" s="185" t="s">
        <v>10</v>
      </c>
      <c r="B24" s="149">
        <v>0</v>
      </c>
      <c r="C24" s="34">
        <v>0</v>
      </c>
      <c r="D24" s="35">
        <v>0</v>
      </c>
      <c r="E24" s="237">
        <v>0</v>
      </c>
      <c r="F24" s="238">
        <v>0</v>
      </c>
      <c r="G24" s="239">
        <v>0</v>
      </c>
      <c r="H24" s="149">
        <v>0</v>
      </c>
      <c r="I24" s="34">
        <v>0</v>
      </c>
      <c r="J24" s="35">
        <v>0</v>
      </c>
    </row>
    <row r="25" spans="1:10" x14ac:dyDescent="0.25">
      <c r="A25" s="188" t="s">
        <v>72</v>
      </c>
      <c r="B25" s="143">
        <v>0</v>
      </c>
      <c r="C25" s="40">
        <v>0</v>
      </c>
      <c r="D25" s="41">
        <v>0</v>
      </c>
      <c r="E25" s="237">
        <v>0</v>
      </c>
      <c r="F25" s="238">
        <v>0</v>
      </c>
      <c r="G25" s="239">
        <v>0</v>
      </c>
      <c r="H25" s="143">
        <v>0</v>
      </c>
      <c r="I25" s="34">
        <v>0</v>
      </c>
      <c r="J25" s="35">
        <v>0</v>
      </c>
    </row>
    <row r="26" spans="1:10" ht="14.45" x14ac:dyDescent="0.3">
      <c r="A26" s="185" t="s">
        <v>73</v>
      </c>
      <c r="B26" s="143">
        <v>0</v>
      </c>
      <c r="C26" s="40">
        <v>0</v>
      </c>
      <c r="D26" s="41">
        <v>0</v>
      </c>
      <c r="E26" s="237">
        <v>0</v>
      </c>
      <c r="F26" s="238">
        <v>0</v>
      </c>
      <c r="G26" s="239">
        <v>0</v>
      </c>
      <c r="H26" s="143">
        <v>0</v>
      </c>
      <c r="I26" s="34">
        <v>0</v>
      </c>
      <c r="J26" s="35">
        <v>0</v>
      </c>
    </row>
    <row r="27" spans="1:10" ht="14.45" x14ac:dyDescent="0.3">
      <c r="A27" s="185" t="s">
        <v>12</v>
      </c>
      <c r="B27" s="143">
        <v>12.512</v>
      </c>
      <c r="C27" s="40">
        <v>2852142</v>
      </c>
      <c r="D27" s="41">
        <f t="shared" si="4"/>
        <v>18996.043797953964</v>
      </c>
      <c r="E27" s="237">
        <v>13.449</v>
      </c>
      <c r="F27" s="238">
        <v>3184276</v>
      </c>
      <c r="G27" s="239">
        <f>F27/E27/12</f>
        <v>19730.562371427863</v>
      </c>
      <c r="H27" s="143">
        <v>12.3619</v>
      </c>
      <c r="I27" s="40">
        <v>3514050</v>
      </c>
      <c r="J27" s="41">
        <f>I27/H27/12</f>
        <v>23688.712900120532</v>
      </c>
    </row>
    <row r="28" spans="1:10" ht="14.45" x14ac:dyDescent="0.3">
      <c r="A28" s="185" t="s">
        <v>15</v>
      </c>
      <c r="B28" s="143">
        <v>0</v>
      </c>
      <c r="C28" s="40">
        <v>0</v>
      </c>
      <c r="D28" s="41">
        <v>0</v>
      </c>
      <c r="E28" s="237">
        <v>0</v>
      </c>
      <c r="F28" s="238">
        <v>0</v>
      </c>
      <c r="G28" s="239">
        <v>0</v>
      </c>
      <c r="H28" s="143">
        <v>0</v>
      </c>
      <c r="I28" s="40">
        <v>0</v>
      </c>
      <c r="J28" s="41">
        <v>0</v>
      </c>
    </row>
    <row r="29" spans="1:10" x14ac:dyDescent="0.25">
      <c r="A29" s="185" t="s">
        <v>31</v>
      </c>
      <c r="B29" s="143">
        <v>0</v>
      </c>
      <c r="C29" s="40">
        <v>0</v>
      </c>
      <c r="D29" s="41">
        <v>0</v>
      </c>
      <c r="E29" s="237">
        <v>0</v>
      </c>
      <c r="F29" s="238">
        <v>0</v>
      </c>
      <c r="G29" s="239">
        <v>0</v>
      </c>
      <c r="H29" s="143">
        <v>0</v>
      </c>
      <c r="I29" s="40">
        <v>0</v>
      </c>
      <c r="J29" s="41">
        <v>0</v>
      </c>
    </row>
    <row r="30" spans="1:10" ht="14.45" x14ac:dyDescent="0.3">
      <c r="A30" s="186" t="s">
        <v>11</v>
      </c>
      <c r="B30" s="143">
        <v>0</v>
      </c>
      <c r="C30" s="40">
        <v>0</v>
      </c>
      <c r="D30" s="41">
        <v>0</v>
      </c>
      <c r="E30" s="237">
        <v>0</v>
      </c>
      <c r="F30" s="238">
        <v>0</v>
      </c>
      <c r="G30" s="239">
        <v>0</v>
      </c>
      <c r="H30" s="143">
        <v>0</v>
      </c>
      <c r="I30" s="40">
        <v>0</v>
      </c>
      <c r="J30" s="41">
        <v>0</v>
      </c>
    </row>
    <row r="31" spans="1:10" ht="15.75" thickBot="1" x14ac:dyDescent="0.3">
      <c r="A31" s="186" t="s">
        <v>26</v>
      </c>
      <c r="B31" s="143">
        <v>6.5540000000000003</v>
      </c>
      <c r="C31" s="40">
        <v>1254440</v>
      </c>
      <c r="D31" s="41">
        <f t="shared" si="4"/>
        <v>15950.055945478589</v>
      </c>
      <c r="E31" s="240">
        <v>6.1479999999999997</v>
      </c>
      <c r="F31" s="241">
        <v>1308347</v>
      </c>
      <c r="G31" s="242">
        <f>F31/E31/12</f>
        <v>17734.046302320541</v>
      </c>
      <c r="H31" s="143">
        <v>8.8574999999999999</v>
      </c>
      <c r="I31" s="40">
        <v>1946662</v>
      </c>
      <c r="J31" s="264">
        <f>I31/H31/12</f>
        <v>18314.629786433343</v>
      </c>
    </row>
    <row r="32" spans="1:10" thickBot="1" x14ac:dyDescent="0.35">
      <c r="A32" s="190" t="s">
        <v>65</v>
      </c>
      <c r="B32" s="146">
        <f>SUM(B22:B31)</f>
        <v>304.23199999999997</v>
      </c>
      <c r="C32" s="147">
        <f>SUM(C22:C31)</f>
        <v>98108363.999999985</v>
      </c>
      <c r="D32" s="148">
        <f>C32/B32/12</f>
        <v>26873.231612716609</v>
      </c>
      <c r="E32" s="243">
        <f>SUM(E22:E31)</f>
        <v>307.11600000000004</v>
      </c>
      <c r="F32" s="244">
        <f>SUM(F22:F31)</f>
        <v>105606983</v>
      </c>
      <c r="G32" s="245">
        <f>F32/E32/12</f>
        <v>28655.563098850809</v>
      </c>
      <c r="H32" s="146">
        <f>SUM(H22:H31)</f>
        <v>302.14480000000003</v>
      </c>
      <c r="I32" s="263">
        <f>SUM(I22:I31)</f>
        <v>115403551</v>
      </c>
      <c r="J32" s="265">
        <f>I32/H32/12</f>
        <v>31828.985914479854</v>
      </c>
    </row>
    <row r="33" spans="1:10" thickBot="1" x14ac:dyDescent="0.35">
      <c r="E33" s="1" t="s">
        <v>1</v>
      </c>
    </row>
    <row r="34" spans="1:10" ht="16.149999999999999" thickBot="1" x14ac:dyDescent="0.35">
      <c r="A34" s="505" t="s">
        <v>70</v>
      </c>
      <c r="B34" s="506"/>
      <c r="C34" s="506"/>
      <c r="D34" s="506"/>
      <c r="E34" s="506"/>
      <c r="F34" s="506"/>
      <c r="G34" s="506"/>
      <c r="H34" s="506"/>
      <c r="I34" s="506"/>
      <c r="J34" s="521"/>
    </row>
    <row r="35" spans="1:10" ht="15.75" thickBot="1" x14ac:dyDescent="0.3">
      <c r="A35" s="480" t="s">
        <v>60</v>
      </c>
      <c r="B35" s="496" t="s">
        <v>83</v>
      </c>
      <c r="C35" s="497"/>
      <c r="D35" s="498"/>
      <c r="E35" s="522" t="s">
        <v>91</v>
      </c>
      <c r="F35" s="523"/>
      <c r="G35" s="524"/>
      <c r="H35" s="496" t="s">
        <v>98</v>
      </c>
      <c r="I35" s="497"/>
      <c r="J35" s="498"/>
    </row>
    <row r="36" spans="1:10" ht="75.75" thickBot="1" x14ac:dyDescent="0.3">
      <c r="A36" s="482"/>
      <c r="B36" s="137" t="s">
        <v>61</v>
      </c>
      <c r="C36" s="138" t="s">
        <v>67</v>
      </c>
      <c r="D36" s="139" t="s">
        <v>63</v>
      </c>
      <c r="E36" s="137" t="s">
        <v>61</v>
      </c>
      <c r="F36" s="138" t="s">
        <v>67</v>
      </c>
      <c r="G36" s="139" t="s">
        <v>63</v>
      </c>
      <c r="H36" s="137" t="s">
        <v>61</v>
      </c>
      <c r="I36" s="138" t="s">
        <v>67</v>
      </c>
      <c r="J36" s="139" t="s">
        <v>63</v>
      </c>
    </row>
    <row r="37" spans="1:10" x14ac:dyDescent="0.25">
      <c r="A37" s="183" t="s">
        <v>13</v>
      </c>
      <c r="B37" s="140">
        <v>0</v>
      </c>
      <c r="C37" s="141">
        <v>0</v>
      </c>
      <c r="D37" s="142">
        <v>0</v>
      </c>
      <c r="E37" s="237">
        <v>0</v>
      </c>
      <c r="F37" s="238">
        <v>0</v>
      </c>
      <c r="G37" s="239">
        <v>0</v>
      </c>
      <c r="H37" s="140">
        <v>0</v>
      </c>
      <c r="I37" s="141">
        <v>0</v>
      </c>
      <c r="J37" s="142">
        <v>0</v>
      </c>
    </row>
    <row r="38" spans="1:10" x14ac:dyDescent="0.25">
      <c r="A38" s="185" t="s">
        <v>9</v>
      </c>
      <c r="B38" s="143">
        <v>310.846</v>
      </c>
      <c r="C38" s="40">
        <v>100429701</v>
      </c>
      <c r="D38" s="41">
        <f t="shared" ref="D38:D46" si="5">C38/B38/12</f>
        <v>26923.755653925095</v>
      </c>
      <c r="E38" s="237">
        <v>306.54300000000001</v>
      </c>
      <c r="F38" s="238">
        <v>106293292</v>
      </c>
      <c r="G38" s="239">
        <f>F38/E38/12</f>
        <v>28895.699243934239</v>
      </c>
      <c r="H38" s="143">
        <v>318.51409999999998</v>
      </c>
      <c r="I38" s="40">
        <v>123958660</v>
      </c>
      <c r="J38" s="41">
        <f t="shared" ref="J38:J47" si="6">I38/H38/12</f>
        <v>32431.494660152672</v>
      </c>
    </row>
    <row r="39" spans="1:10" x14ac:dyDescent="0.25">
      <c r="A39" s="185" t="s">
        <v>10</v>
      </c>
      <c r="B39" s="149">
        <v>4.9359999999999999</v>
      </c>
      <c r="C39" s="34">
        <v>1712394</v>
      </c>
      <c r="D39" s="41">
        <f t="shared" si="5"/>
        <v>28909.947325769856</v>
      </c>
      <c r="E39" s="237">
        <v>4.25</v>
      </c>
      <c r="F39" s="238">
        <v>1492227</v>
      </c>
      <c r="G39" s="239">
        <f t="shared" ref="G39:G47" si="7">F39/E39/12</f>
        <v>29259.352941176472</v>
      </c>
      <c r="H39" s="149">
        <v>2.5169000000000001</v>
      </c>
      <c r="I39" s="34">
        <v>1025053</v>
      </c>
      <c r="J39" s="41">
        <f t="shared" si="6"/>
        <v>33939.005655104826</v>
      </c>
    </row>
    <row r="40" spans="1:10" x14ac:dyDescent="0.25">
      <c r="A40" s="188" t="s">
        <v>72</v>
      </c>
      <c r="B40" s="143">
        <v>5.5</v>
      </c>
      <c r="C40" s="40">
        <v>2207637</v>
      </c>
      <c r="D40" s="41">
        <f t="shared" si="5"/>
        <v>33449.045454545456</v>
      </c>
      <c r="E40" s="237">
        <v>5.5</v>
      </c>
      <c r="F40" s="238">
        <v>2406120</v>
      </c>
      <c r="G40" s="239">
        <f t="shared" si="7"/>
        <v>36456.36363636364</v>
      </c>
      <c r="H40" s="143">
        <v>5.3845999999999998</v>
      </c>
      <c r="I40" s="40">
        <v>2574177</v>
      </c>
      <c r="J40" s="41">
        <f t="shared" si="6"/>
        <v>39838.567395906844</v>
      </c>
    </row>
    <row r="41" spans="1:10" ht="14.45" x14ac:dyDescent="0.3">
      <c r="A41" s="185" t="s">
        <v>73</v>
      </c>
      <c r="B41" s="143">
        <v>0</v>
      </c>
      <c r="C41" s="40">
        <v>0</v>
      </c>
      <c r="D41" s="41">
        <v>0</v>
      </c>
      <c r="E41" s="237">
        <v>0</v>
      </c>
      <c r="F41" s="238">
        <v>0</v>
      </c>
      <c r="G41" s="239">
        <v>0</v>
      </c>
      <c r="H41" s="143">
        <v>0</v>
      </c>
      <c r="I41" s="40">
        <v>0</v>
      </c>
      <c r="J41" s="41">
        <v>0</v>
      </c>
    </row>
    <row r="42" spans="1:10" ht="14.45" x14ac:dyDescent="0.3">
      <c r="A42" s="185" t="s">
        <v>12</v>
      </c>
      <c r="B42" s="143">
        <v>23.224</v>
      </c>
      <c r="C42" s="40">
        <v>6570251</v>
      </c>
      <c r="D42" s="41">
        <f t="shared" si="5"/>
        <v>23575.650907107589</v>
      </c>
      <c r="E42" s="237">
        <v>23.443000000000001</v>
      </c>
      <c r="F42" s="238">
        <v>6917377</v>
      </c>
      <c r="G42" s="239">
        <f t="shared" si="7"/>
        <v>24589.347921909881</v>
      </c>
      <c r="H42" s="143">
        <v>22.851099999999999</v>
      </c>
      <c r="I42" s="40">
        <v>7720363</v>
      </c>
      <c r="J42" s="41">
        <f t="shared" si="6"/>
        <v>28154.600143246207</v>
      </c>
    </row>
    <row r="43" spans="1:10" ht="14.45" x14ac:dyDescent="0.3">
      <c r="A43" s="185" t="s">
        <v>15</v>
      </c>
      <c r="B43" s="149">
        <v>0</v>
      </c>
      <c r="C43" s="34">
        <v>0</v>
      </c>
      <c r="D43" s="35">
        <v>0</v>
      </c>
      <c r="E43" s="237">
        <v>0</v>
      </c>
      <c r="F43" s="238">
        <v>0</v>
      </c>
      <c r="G43" s="239">
        <v>0</v>
      </c>
      <c r="H43" s="149">
        <v>0</v>
      </c>
      <c r="I43" s="34">
        <v>0</v>
      </c>
      <c r="J43" s="41">
        <v>0</v>
      </c>
    </row>
    <row r="44" spans="1:10" x14ac:dyDescent="0.25">
      <c r="A44" s="185" t="s">
        <v>31</v>
      </c>
      <c r="B44" s="149">
        <v>0</v>
      </c>
      <c r="C44" s="34">
        <v>0</v>
      </c>
      <c r="D44" s="35">
        <v>0</v>
      </c>
      <c r="E44" s="237">
        <v>0</v>
      </c>
      <c r="F44" s="238">
        <v>0</v>
      </c>
      <c r="G44" s="239">
        <v>0</v>
      </c>
      <c r="H44" s="149">
        <v>0</v>
      </c>
      <c r="I44" s="34">
        <v>0</v>
      </c>
      <c r="J44" s="41">
        <v>0</v>
      </c>
    </row>
    <row r="45" spans="1:10" ht="14.45" x14ac:dyDescent="0.3">
      <c r="A45" s="186" t="s">
        <v>11</v>
      </c>
      <c r="B45" s="143">
        <v>104.277</v>
      </c>
      <c r="C45" s="40">
        <v>30975339</v>
      </c>
      <c r="D45" s="41">
        <f t="shared" si="5"/>
        <v>24754.05170843043</v>
      </c>
      <c r="E45" s="237">
        <v>91.113</v>
      </c>
      <c r="F45" s="238">
        <v>28395716</v>
      </c>
      <c r="G45" s="239">
        <f t="shared" si="7"/>
        <v>25971.153037071184</v>
      </c>
      <c r="H45" s="143">
        <v>78.673699999999997</v>
      </c>
      <c r="I45" s="40">
        <v>27555864</v>
      </c>
      <c r="J45" s="41">
        <f t="shared" si="6"/>
        <v>29187.924299988434</v>
      </c>
    </row>
    <row r="46" spans="1:10" ht="15.75" thickBot="1" x14ac:dyDescent="0.3">
      <c r="A46" s="186" t="s">
        <v>26</v>
      </c>
      <c r="B46" s="143">
        <v>18.388000000000002</v>
      </c>
      <c r="C46" s="40">
        <v>3392881</v>
      </c>
      <c r="D46" s="41">
        <f t="shared" si="5"/>
        <v>15376.336922630699</v>
      </c>
      <c r="E46" s="240">
        <v>17.952000000000002</v>
      </c>
      <c r="F46" s="241">
        <v>3526451</v>
      </c>
      <c r="G46" s="242">
        <f t="shared" si="7"/>
        <v>16369.814876708258</v>
      </c>
      <c r="H46" s="143">
        <v>18.291599999999999</v>
      </c>
      <c r="I46" s="40">
        <v>4226479</v>
      </c>
      <c r="J46" s="264">
        <f t="shared" si="6"/>
        <v>19255.099790796503</v>
      </c>
    </row>
    <row r="47" spans="1:10" thickBot="1" x14ac:dyDescent="0.35">
      <c r="A47" s="190" t="s">
        <v>65</v>
      </c>
      <c r="B47" s="146">
        <f>SUM(B37:B46)</f>
        <v>467.17099999999994</v>
      </c>
      <c r="C47" s="147">
        <f>SUM(C37:C46)</f>
        <v>145288203</v>
      </c>
      <c r="D47" s="148">
        <f>C47/B47/12</f>
        <v>25916.313833692591</v>
      </c>
      <c r="E47" s="421">
        <f>SUM(E37:E46)</f>
        <v>448.80099999999999</v>
      </c>
      <c r="F47" s="244">
        <f>SUM(F37:F46)</f>
        <v>149031183</v>
      </c>
      <c r="G47" s="245">
        <f t="shared" si="7"/>
        <v>27672.097989977741</v>
      </c>
      <c r="H47" s="146">
        <f>SUM(H37:H46)</f>
        <v>446.23199999999997</v>
      </c>
      <c r="I47" s="263">
        <f>SUM(I37:I46)</f>
        <v>167060596</v>
      </c>
      <c r="J47" s="148">
        <f t="shared" si="6"/>
        <v>31198.381858166456</v>
      </c>
    </row>
    <row r="48" spans="1:10" thickBot="1" x14ac:dyDescent="0.35"/>
    <row r="49" spans="1:11" ht="15.75" thickBot="1" x14ac:dyDescent="0.3">
      <c r="A49" s="510" t="s">
        <v>71</v>
      </c>
      <c r="B49" s="534" t="s">
        <v>83</v>
      </c>
      <c r="C49" s="535"/>
      <c r="D49" s="536"/>
      <c r="E49" s="528" t="s">
        <v>91</v>
      </c>
      <c r="F49" s="529"/>
      <c r="G49" s="530"/>
      <c r="H49" s="528" t="s">
        <v>98</v>
      </c>
      <c r="I49" s="529"/>
      <c r="J49" s="530"/>
      <c r="K49" s="84"/>
    </row>
    <row r="50" spans="1:11" ht="15.75" thickBot="1" x14ac:dyDescent="0.3">
      <c r="A50" s="511"/>
      <c r="B50" s="150">
        <f>B47+B32+B17</f>
        <v>1687.6759999999999</v>
      </c>
      <c r="C50" s="151">
        <f>C47+C32+C17</f>
        <v>542962549</v>
      </c>
      <c r="D50" s="134">
        <f>C50/B50/12</f>
        <v>26810.169181367357</v>
      </c>
      <c r="E50" s="249">
        <f>E17+E32+E47</f>
        <v>1692.04</v>
      </c>
      <c r="F50" s="250">
        <f>F17+F32+F47</f>
        <v>578659545</v>
      </c>
      <c r="G50" s="251">
        <f>F50/E50/12</f>
        <v>28499.106847355855</v>
      </c>
      <c r="H50" s="249">
        <v>1673.6579999999999</v>
      </c>
      <c r="I50" s="250">
        <v>638537501</v>
      </c>
      <c r="J50" s="251">
        <f>I50/H50/12</f>
        <v>31793.507644134388</v>
      </c>
    </row>
    <row r="51" spans="1:11" ht="14.45" x14ac:dyDescent="0.3">
      <c r="B51" s="166"/>
      <c r="C51" s="166"/>
      <c r="D51" s="191"/>
    </row>
    <row r="55" spans="1:11" ht="14.45" x14ac:dyDescent="0.3">
      <c r="D55" s="192"/>
    </row>
    <row r="56" spans="1:11" ht="14.45" x14ac:dyDescent="0.3">
      <c r="D56" s="192"/>
    </row>
    <row r="58" spans="1:11" ht="14.45" x14ac:dyDescent="0.3">
      <c r="D58" s="84"/>
    </row>
    <row r="59" spans="1:11" ht="14.45" x14ac:dyDescent="0.3">
      <c r="D59" s="68"/>
    </row>
  </sheetData>
  <mergeCells count="19">
    <mergeCell ref="H49:J49"/>
    <mergeCell ref="H35:J35"/>
    <mergeCell ref="H20:J20"/>
    <mergeCell ref="E49:G49"/>
    <mergeCell ref="A49:A50"/>
    <mergeCell ref="B49:D49"/>
    <mergeCell ref="A4:J4"/>
    <mergeCell ref="A19:J19"/>
    <mergeCell ref="A34:J34"/>
    <mergeCell ref="E35:G35"/>
    <mergeCell ref="E5:G5"/>
    <mergeCell ref="A35:A36"/>
    <mergeCell ref="B35:D35"/>
    <mergeCell ref="A5:A6"/>
    <mergeCell ref="H5:J5"/>
    <mergeCell ref="B5:D5"/>
    <mergeCell ref="A20:A21"/>
    <mergeCell ref="B20:D20"/>
    <mergeCell ref="E20:G20"/>
  </mergeCells>
  <pageMargins left="0.23622047244094491" right="0.23622047244094491" top="0.15748031496062992" bottom="0.27559055118110237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3:K13"/>
  <sheetViews>
    <sheetView workbookViewId="0">
      <selection activeCell="K9" sqref="K9"/>
    </sheetView>
  </sheetViews>
  <sheetFormatPr defaultColWidth="9.140625" defaultRowHeight="15" x14ac:dyDescent="0.25"/>
  <cols>
    <col min="1" max="1" width="14.7109375" style="1" customWidth="1"/>
    <col min="2" max="6" width="11.28515625" style="1" customWidth="1"/>
    <col min="7" max="7" width="11.42578125" style="1" customWidth="1"/>
    <col min="8" max="9" width="9.140625" style="1"/>
    <col min="10" max="10" width="10.7109375" style="1" customWidth="1"/>
    <col min="11" max="16384" width="9.140625" style="1"/>
  </cols>
  <sheetData>
    <row r="3" spans="1:11" x14ac:dyDescent="0.25">
      <c r="A3" s="3" t="s">
        <v>18</v>
      </c>
      <c r="B3" s="178"/>
      <c r="C3" s="178"/>
      <c r="D3" s="178"/>
      <c r="E3" s="178"/>
      <c r="F3" s="178"/>
    </row>
    <row r="4" spans="1:11" thickBot="1" x14ac:dyDescent="0.35"/>
    <row r="5" spans="1:11" ht="15" customHeight="1" x14ac:dyDescent="0.25">
      <c r="A5" s="423" t="s">
        <v>2</v>
      </c>
      <c r="B5" s="425">
        <v>2017</v>
      </c>
      <c r="C5" s="426"/>
      <c r="D5" s="426"/>
      <c r="E5" s="426"/>
      <c r="F5" s="427"/>
      <c r="G5" s="425">
        <v>2018</v>
      </c>
      <c r="H5" s="426"/>
      <c r="I5" s="426"/>
      <c r="J5" s="426"/>
      <c r="K5" s="427"/>
    </row>
    <row r="6" spans="1:11" ht="23.25" thickBot="1" x14ac:dyDescent="0.3">
      <c r="A6" s="424"/>
      <c r="B6" s="32" t="s">
        <v>3</v>
      </c>
      <c r="C6" s="30" t="s">
        <v>4</v>
      </c>
      <c r="D6" s="30" t="s">
        <v>5</v>
      </c>
      <c r="E6" s="31" t="s">
        <v>6</v>
      </c>
      <c r="F6" s="9" t="s">
        <v>7</v>
      </c>
      <c r="G6" s="32" t="s">
        <v>3</v>
      </c>
      <c r="H6" s="30" t="s">
        <v>4</v>
      </c>
      <c r="I6" s="30" t="s">
        <v>5</v>
      </c>
      <c r="J6" s="31" t="s">
        <v>6</v>
      </c>
      <c r="K6" s="9" t="s">
        <v>7</v>
      </c>
    </row>
    <row r="7" spans="1:11" ht="15.75" thickTop="1" x14ac:dyDescent="0.25">
      <c r="A7" s="33" t="s">
        <v>113</v>
      </c>
      <c r="B7" s="292">
        <f>'1'!C7/'1'!B7</f>
        <v>129496.00212314224</v>
      </c>
      <c r="C7" s="293">
        <f>'1'!D7/'1'!B7</f>
        <v>13639.915074309978</v>
      </c>
      <c r="D7" s="293">
        <f>'1'!E7/'1'!B7</f>
        <v>246.28450106157112</v>
      </c>
      <c r="E7" s="293">
        <f>'1'!F7/'1'!B7</f>
        <v>6084.915074309979</v>
      </c>
      <c r="F7" s="261">
        <f>'1'!G7/'1'!B7</f>
        <v>149467.11677282379</v>
      </c>
      <c r="G7" s="36">
        <f>'1'!I7/'1'!H7</f>
        <v>151055.74097664544</v>
      </c>
      <c r="H7" s="34">
        <f>'1'!J7/'1'!H7</f>
        <v>13678.743099787685</v>
      </c>
      <c r="I7" s="34">
        <f>'1'!K7/'1'!H7</f>
        <v>3407.6433121019109</v>
      </c>
      <c r="J7" s="34">
        <f>'1'!L7/'1'!H7</f>
        <v>2776.9108280254777</v>
      </c>
      <c r="K7" s="35">
        <f>'1'!M7/'1'!H7</f>
        <v>170919.0382165605</v>
      </c>
    </row>
    <row r="8" spans="1:11" x14ac:dyDescent="0.25">
      <c r="A8" s="37" t="s">
        <v>82</v>
      </c>
      <c r="B8" s="36">
        <f>'1'!C8/'1'!B8</f>
        <v>59056.16359675183</v>
      </c>
      <c r="C8" s="34">
        <f>'1'!D8/'1'!B8</f>
        <v>17601.247573776986</v>
      </c>
      <c r="D8" s="34">
        <f>'1'!E8/'1'!B8</f>
        <v>3437.966726084373</v>
      </c>
      <c r="E8" s="34">
        <f>'1'!F8/'1'!B8</f>
        <v>3103.9494949494951</v>
      </c>
      <c r="F8" s="35">
        <f>'1'!G8/'1'!B8</f>
        <v>83199.327391562692</v>
      </c>
      <c r="G8" s="36">
        <f>'1'!I8/'1'!H8</f>
        <v>68357.808828006091</v>
      </c>
      <c r="H8" s="34">
        <f>'1'!J8/'1'!H8</f>
        <v>18129.440182648403</v>
      </c>
      <c r="I8" s="34">
        <f>'1'!K8/'1'!H8</f>
        <v>7021.8793505834601</v>
      </c>
      <c r="J8" s="34">
        <f>'1'!L8/'1'!H8</f>
        <v>1450.4147133434806</v>
      </c>
      <c r="K8" s="35">
        <f>'1'!M8/'1'!H8</f>
        <v>94959.543074581437</v>
      </c>
    </row>
    <row r="9" spans="1:11" ht="14.45" x14ac:dyDescent="0.3">
      <c r="A9" s="37" t="s">
        <v>11</v>
      </c>
      <c r="B9" s="36">
        <f>'1'!C9/'1'!B9</f>
        <v>319791.47715736041</v>
      </c>
      <c r="C9" s="34">
        <f>'1'!D9/'1'!B9</f>
        <v>103384.77157360406</v>
      </c>
      <c r="D9" s="34">
        <f>'1'!E9/'1'!B9</f>
        <v>10913.705583756346</v>
      </c>
      <c r="E9" s="34">
        <f>'1'!F9/'1'!B9</f>
        <v>9120.3705583756346</v>
      </c>
      <c r="F9" s="35">
        <f>'1'!G9/'1'!B9</f>
        <v>443210.32487309643</v>
      </c>
      <c r="G9" s="36">
        <f>'1'!I9/'1'!H9</f>
        <v>340477.97156398103</v>
      </c>
      <c r="H9" s="34">
        <f>'1'!J9/'1'!H9</f>
        <v>97504.739336492887</v>
      </c>
      <c r="I9" s="34">
        <f>'1'!K9/'1'!H9</f>
        <v>8056.8720379146916</v>
      </c>
      <c r="J9" s="34">
        <f>'1'!L9/'1'!H9</f>
        <v>0</v>
      </c>
      <c r="K9" s="35">
        <f>'1'!M9/'1'!H9</f>
        <v>446039.58293838863</v>
      </c>
    </row>
    <row r="10" spans="1:11" ht="14.45" x14ac:dyDescent="0.3">
      <c r="A10" s="37" t="s">
        <v>12</v>
      </c>
      <c r="B10" s="36">
        <f>'1'!C10/'1'!B10</f>
        <v>29874.949743589743</v>
      </c>
      <c r="C10" s="34">
        <f>'1'!D10/'1'!B10</f>
        <v>7257.4358974358975</v>
      </c>
      <c r="D10" s="34">
        <f>'1'!E10/'1'!B10</f>
        <v>492.30769230769232</v>
      </c>
      <c r="E10" s="34">
        <f>'1'!F10/'1'!B10</f>
        <v>1099.8994871794871</v>
      </c>
      <c r="F10" s="35">
        <f>'1'!G10/'1'!B10</f>
        <v>38724.592820512822</v>
      </c>
      <c r="G10" s="36">
        <f>'1'!I10/'1'!H10</f>
        <v>34663.642999999996</v>
      </c>
      <c r="H10" s="34">
        <f>'1'!J10/'1'!H10</f>
        <v>7706</v>
      </c>
      <c r="I10" s="34">
        <f>'1'!K10/'1'!H10</f>
        <v>20527.599999999999</v>
      </c>
      <c r="J10" s="34">
        <f>'1'!L10/'1'!H10</f>
        <v>0</v>
      </c>
      <c r="K10" s="35">
        <f>'1'!M10/'1'!H10</f>
        <v>62897.243000000002</v>
      </c>
    </row>
    <row r="11" spans="1:11" x14ac:dyDescent="0.25">
      <c r="A11" s="81" t="s">
        <v>13</v>
      </c>
      <c r="B11" s="286">
        <f>'1'!C11/'1'!B11</f>
        <v>16738.638313609466</v>
      </c>
      <c r="C11" s="145">
        <f>'1'!D11/'1'!B11</f>
        <v>561.48520710059177</v>
      </c>
      <c r="D11" s="145">
        <f>'1'!E11/'1'!B11</f>
        <v>39.940828402366861</v>
      </c>
      <c r="E11" s="145">
        <f>'1'!F11/'1'!B11</f>
        <v>370.36834319526628</v>
      </c>
      <c r="F11" s="287">
        <f>'1'!G11/'1'!B11</f>
        <v>17710.432692307691</v>
      </c>
      <c r="G11" s="286">
        <f>'1'!I11/'1'!H11</f>
        <v>10687.827759197324</v>
      </c>
      <c r="H11" s="145">
        <f>'1'!J11/'1'!H11</f>
        <v>451.42307692307691</v>
      </c>
      <c r="I11" s="145">
        <f>'1'!K11/'1'!H11</f>
        <v>36.789297658862878</v>
      </c>
      <c r="J11" s="145">
        <f>'1'!L11/'1'!H11</f>
        <v>0</v>
      </c>
      <c r="K11" s="287">
        <f>'1'!M11/'1'!H12</f>
        <v>2289.968134315573</v>
      </c>
    </row>
    <row r="12" spans="1:11" thickBot="1" x14ac:dyDescent="0.35">
      <c r="A12" s="42" t="s">
        <v>15</v>
      </c>
      <c r="B12" s="284">
        <f>'1'!C13/'1'!B13</f>
        <v>3018.5898734177217</v>
      </c>
      <c r="C12" s="285">
        <f>'1'!D13/'1'!B13</f>
        <v>2937.5594936708862</v>
      </c>
      <c r="D12" s="285">
        <f>'1'!E13/'1'!B13</f>
        <v>0</v>
      </c>
      <c r="E12" s="285">
        <f>'1'!F13/'1'!B13</f>
        <v>2168.2911392405063</v>
      </c>
      <c r="F12" s="44">
        <f>'1'!G13/'1'!B13</f>
        <v>8124.4405063291142</v>
      </c>
      <c r="G12" s="284">
        <v>0</v>
      </c>
      <c r="H12" s="288">
        <v>0</v>
      </c>
      <c r="I12" s="288">
        <v>0</v>
      </c>
      <c r="J12" s="288">
        <v>0</v>
      </c>
      <c r="K12" s="294">
        <v>0</v>
      </c>
    </row>
    <row r="13" spans="1:11" ht="14.45" x14ac:dyDescent="0.3">
      <c r="F13" s="164"/>
    </row>
  </sheetData>
  <mergeCells count="3">
    <mergeCell ref="A5:A6"/>
    <mergeCell ref="G5:K5"/>
    <mergeCell ref="B5:F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3:O25"/>
  <sheetViews>
    <sheetView workbookViewId="0">
      <selection activeCell="F16" sqref="F16"/>
    </sheetView>
  </sheetViews>
  <sheetFormatPr defaultColWidth="9.140625" defaultRowHeight="15" x14ac:dyDescent="0.25"/>
  <cols>
    <col min="1" max="1" width="8.42578125" style="1" customWidth="1"/>
    <col min="2" max="2" width="15.7109375" style="1" customWidth="1"/>
    <col min="3" max="3" width="11.7109375" style="1" customWidth="1"/>
    <col min="4" max="4" width="9.140625" style="1"/>
    <col min="5" max="5" width="11.28515625" style="1" customWidth="1"/>
    <col min="6" max="6" width="11" style="1" customWidth="1"/>
    <col min="7" max="8" width="11.140625" style="1" customWidth="1"/>
    <col min="9" max="9" width="9.140625" style="1"/>
    <col min="10" max="10" width="12.5703125" style="1" customWidth="1"/>
    <col min="11" max="11" width="11.140625" style="1" customWidth="1"/>
    <col min="12" max="12" width="13.140625" style="1" customWidth="1"/>
    <col min="13" max="13" width="13" style="1" customWidth="1"/>
    <col min="14" max="14" width="14.28515625" style="1" customWidth="1"/>
    <col min="15" max="16384" width="9.140625" style="1"/>
  </cols>
  <sheetData>
    <row r="3" spans="1:15" x14ac:dyDescent="0.25">
      <c r="A3" s="3" t="s">
        <v>19</v>
      </c>
    </row>
    <row r="4" spans="1:15" thickBot="1" x14ac:dyDescent="0.35"/>
    <row r="5" spans="1:15" ht="15" customHeight="1" x14ac:dyDescent="0.25">
      <c r="A5" s="423" t="s">
        <v>2</v>
      </c>
      <c r="B5" s="428" t="s">
        <v>97</v>
      </c>
      <c r="C5" s="428"/>
      <c r="D5" s="428"/>
      <c r="E5" s="428"/>
      <c r="F5" s="428"/>
      <c r="G5" s="428"/>
      <c r="H5" s="429"/>
      <c r="I5" s="428" t="s">
        <v>114</v>
      </c>
      <c r="J5" s="428"/>
      <c r="K5" s="428"/>
      <c r="L5" s="428"/>
      <c r="M5" s="428"/>
      <c r="N5" s="428"/>
      <c r="O5" s="429"/>
    </row>
    <row r="6" spans="1:15" ht="57.75" customHeight="1" thickBot="1" x14ac:dyDescent="0.3">
      <c r="A6" s="424"/>
      <c r="B6" s="45" t="s">
        <v>20</v>
      </c>
      <c r="C6" s="8" t="s">
        <v>21</v>
      </c>
      <c r="D6" s="8" t="s">
        <v>22</v>
      </c>
      <c r="E6" s="8" t="s">
        <v>23</v>
      </c>
      <c r="F6" s="8" t="s">
        <v>6</v>
      </c>
      <c r="G6" s="46" t="s">
        <v>32</v>
      </c>
      <c r="H6" s="47" t="s">
        <v>115</v>
      </c>
      <c r="I6" s="45" t="s">
        <v>20</v>
      </c>
      <c r="J6" s="8" t="s">
        <v>21</v>
      </c>
      <c r="K6" s="8" t="s">
        <v>22</v>
      </c>
      <c r="L6" s="8" t="s">
        <v>23</v>
      </c>
      <c r="M6" s="8" t="s">
        <v>6</v>
      </c>
      <c r="N6" s="46" t="s">
        <v>32</v>
      </c>
      <c r="O6" s="47" t="s">
        <v>115</v>
      </c>
    </row>
    <row r="7" spans="1:15" ht="24.75" customHeight="1" thickTop="1" x14ac:dyDescent="0.25">
      <c r="A7" s="48" t="s">
        <v>24</v>
      </c>
      <c r="B7" s="49">
        <v>8648</v>
      </c>
      <c r="C7" s="50">
        <v>276410533</v>
      </c>
      <c r="D7" s="51">
        <v>2029656</v>
      </c>
      <c r="E7" s="49">
        <f>94593161+5528219+4364785</f>
        <v>104486165</v>
      </c>
      <c r="F7" s="12">
        <v>25462602</v>
      </c>
      <c r="G7" s="52">
        <f t="shared" ref="G7:G13" si="0">C7+D7+E7+F7</f>
        <v>408388956</v>
      </c>
      <c r="H7" s="53">
        <f>G7/G14*100</f>
        <v>20.538399896643391</v>
      </c>
      <c r="I7" s="49">
        <v>8688</v>
      </c>
      <c r="J7" s="289">
        <v>313566082</v>
      </c>
      <c r="K7" s="51">
        <v>2681729</v>
      </c>
      <c r="L7" s="49">
        <v>117574201.26000001</v>
      </c>
      <c r="M7" s="12">
        <v>8869414</v>
      </c>
      <c r="N7" s="52">
        <f>J7+K7+L7+M7</f>
        <v>442691426.25999999</v>
      </c>
      <c r="O7" s="53">
        <f t="shared" ref="O7:O13" si="1">N7/$N$14*100</f>
        <v>19.996078843318703</v>
      </c>
    </row>
    <row r="8" spans="1:15" ht="24.75" customHeight="1" x14ac:dyDescent="0.25">
      <c r="A8" s="54" t="s">
        <v>80</v>
      </c>
      <c r="B8" s="55">
        <v>23386</v>
      </c>
      <c r="C8" s="56">
        <v>714983745</v>
      </c>
      <c r="D8" s="57">
        <v>6826624</v>
      </c>
      <c r="E8" s="49">
        <f>245377769+14313236+31666571</f>
        <v>291357576</v>
      </c>
      <c r="F8" s="52">
        <v>70563309</v>
      </c>
      <c r="G8" s="52">
        <f t="shared" si="0"/>
        <v>1083731254</v>
      </c>
      <c r="H8" s="53">
        <f>G8/G14*100</f>
        <v>54.502222815111608</v>
      </c>
      <c r="I8" s="55">
        <v>23497</v>
      </c>
      <c r="J8" s="56">
        <v>829107104.75</v>
      </c>
      <c r="K8" s="57">
        <v>8800968</v>
      </c>
      <c r="L8" s="49">
        <v>327448309.25</v>
      </c>
      <c r="M8" s="52">
        <v>27755629</v>
      </c>
      <c r="N8" s="52">
        <f t="shared" ref="N8:N13" si="2">J8+K8+L8+M8</f>
        <v>1193112011</v>
      </c>
      <c r="O8" s="53">
        <f t="shared" si="1"/>
        <v>53.892080184210734</v>
      </c>
    </row>
    <row r="9" spans="1:15" ht="24.75" customHeight="1" x14ac:dyDescent="0.25">
      <c r="A9" s="211" t="s">
        <v>81</v>
      </c>
      <c r="B9" s="55">
        <v>921</v>
      </c>
      <c r="C9" s="56">
        <v>58034662</v>
      </c>
      <c r="D9" s="58">
        <v>808544</v>
      </c>
      <c r="E9" s="49">
        <v>23975948</v>
      </c>
      <c r="F9" s="17">
        <v>454608</v>
      </c>
      <c r="G9" s="52">
        <f t="shared" si="0"/>
        <v>83273762</v>
      </c>
      <c r="H9" s="53">
        <f>G9/G14*100</f>
        <v>4.187943380265911</v>
      </c>
      <c r="I9" s="55">
        <v>880</v>
      </c>
      <c r="J9" s="56">
        <v>65126448</v>
      </c>
      <c r="K9" s="58">
        <v>814036</v>
      </c>
      <c r="L9" s="49">
        <v>25529827</v>
      </c>
      <c r="M9" s="17">
        <v>1188878.75</v>
      </c>
      <c r="N9" s="52">
        <f t="shared" si="2"/>
        <v>92659189.75</v>
      </c>
      <c r="O9" s="53">
        <f t="shared" si="1"/>
        <v>4.1853542984833778</v>
      </c>
    </row>
    <row r="10" spans="1:15" ht="24.75" customHeight="1" x14ac:dyDescent="0.25">
      <c r="A10" s="54" t="s">
        <v>13</v>
      </c>
      <c r="B10" s="55">
        <v>8052</v>
      </c>
      <c r="C10" s="56">
        <v>105675607</v>
      </c>
      <c r="D10" s="58">
        <v>813582</v>
      </c>
      <c r="E10" s="49">
        <v>39113140</v>
      </c>
      <c r="F10" s="17">
        <v>3644139</v>
      </c>
      <c r="G10" s="52">
        <f t="shared" si="0"/>
        <v>149246468</v>
      </c>
      <c r="H10" s="53">
        <f>G10/G14*100</f>
        <v>7.5057946546076311</v>
      </c>
      <c r="I10" s="55">
        <v>9437</v>
      </c>
      <c r="J10" s="56">
        <v>127806477</v>
      </c>
      <c r="K10" s="58">
        <v>789105</v>
      </c>
      <c r="L10" s="49">
        <v>47237723</v>
      </c>
      <c r="M10" s="17">
        <v>1907316</v>
      </c>
      <c r="N10" s="52">
        <f t="shared" si="2"/>
        <v>177740621</v>
      </c>
      <c r="O10" s="53">
        <f t="shared" si="1"/>
        <v>8.0284262589016961</v>
      </c>
    </row>
    <row r="11" spans="1:15" ht="24.75" customHeight="1" x14ac:dyDescent="0.25">
      <c r="A11" s="54" t="s">
        <v>25</v>
      </c>
      <c r="B11" s="55">
        <v>7773</v>
      </c>
      <c r="C11" s="56">
        <v>75076162</v>
      </c>
      <c r="D11" s="57">
        <v>0</v>
      </c>
      <c r="E11" s="49">
        <v>27267270</v>
      </c>
      <c r="F11" s="17">
        <v>158072</v>
      </c>
      <c r="G11" s="52">
        <f t="shared" si="0"/>
        <v>102501504</v>
      </c>
      <c r="H11" s="53">
        <f>G11/G14*100</f>
        <v>5.1549309750663097</v>
      </c>
      <c r="I11" s="55">
        <v>7844</v>
      </c>
      <c r="J11" s="56">
        <v>83237303</v>
      </c>
      <c r="K11" s="57">
        <v>0</v>
      </c>
      <c r="L11" s="49">
        <v>30204108</v>
      </c>
      <c r="M11" s="17">
        <v>0</v>
      </c>
      <c r="N11" s="52">
        <f t="shared" si="2"/>
        <v>113441411</v>
      </c>
      <c r="O11" s="53">
        <f t="shared" si="1"/>
        <v>5.1240734830067893</v>
      </c>
    </row>
    <row r="12" spans="1:15" ht="24.75" customHeight="1" x14ac:dyDescent="0.25">
      <c r="A12" s="54" t="s">
        <v>26</v>
      </c>
      <c r="B12" s="55">
        <v>26979</v>
      </c>
      <c r="C12" s="56">
        <v>86156153</v>
      </c>
      <c r="D12" s="57">
        <v>42000</v>
      </c>
      <c r="E12" s="49">
        <f>29307379+1723123+1328713</f>
        <v>32359215</v>
      </c>
      <c r="F12" s="17">
        <v>111292</v>
      </c>
      <c r="G12" s="52">
        <f t="shared" si="0"/>
        <v>118668660</v>
      </c>
      <c r="H12" s="53">
        <f>G12/G14*100</f>
        <v>5.9679978081454523</v>
      </c>
      <c r="I12" s="55">
        <v>25276</v>
      </c>
      <c r="J12" s="56">
        <v>102382377</v>
      </c>
      <c r="K12" s="57">
        <v>0</v>
      </c>
      <c r="L12" s="49">
        <v>38209959</v>
      </c>
      <c r="M12" s="17">
        <v>0</v>
      </c>
      <c r="N12" s="52">
        <f t="shared" si="2"/>
        <v>140592336</v>
      </c>
      <c r="O12" s="53">
        <f t="shared" si="1"/>
        <v>6.350462802437999</v>
      </c>
    </row>
    <row r="13" spans="1:15" ht="24.75" customHeight="1" thickBot="1" x14ac:dyDescent="0.35">
      <c r="A13" s="59" t="s">
        <v>15</v>
      </c>
      <c r="B13" s="21">
        <v>7753</v>
      </c>
      <c r="C13" s="60">
        <v>24306034</v>
      </c>
      <c r="D13" s="61">
        <v>5838522</v>
      </c>
      <c r="E13" s="22">
        <v>11134006</v>
      </c>
      <c r="F13" s="62">
        <v>1327449</v>
      </c>
      <c r="G13" s="62">
        <f t="shared" si="0"/>
        <v>42606011</v>
      </c>
      <c r="H13" s="62">
        <f>G13/G14*100</f>
        <v>2.1427104701596953</v>
      </c>
      <c r="I13" s="21">
        <v>12772</v>
      </c>
      <c r="J13" s="60">
        <v>29791855</v>
      </c>
      <c r="K13" s="61">
        <v>7550511</v>
      </c>
      <c r="L13" s="22">
        <v>13759867</v>
      </c>
      <c r="M13" s="62">
        <v>2551954</v>
      </c>
      <c r="N13" s="62">
        <f t="shared" si="2"/>
        <v>53654187</v>
      </c>
      <c r="O13" s="173">
        <f t="shared" si="1"/>
        <v>2.4235241296406973</v>
      </c>
    </row>
    <row r="14" spans="1:15" ht="24.75" customHeight="1" thickTop="1" thickBot="1" x14ac:dyDescent="0.35">
      <c r="A14" s="63" t="s">
        <v>27</v>
      </c>
      <c r="B14" s="64">
        <f>SUM(B7:B13)</f>
        <v>83512</v>
      </c>
      <c r="C14" s="65">
        <f>SUM(C7:C13)</f>
        <v>1340642896</v>
      </c>
      <c r="D14" s="65">
        <f t="shared" ref="D14:G14" si="3">SUM(D7:D13)</f>
        <v>16358928</v>
      </c>
      <c r="E14" s="65">
        <f t="shared" si="3"/>
        <v>529693320</v>
      </c>
      <c r="F14" s="65">
        <f t="shared" si="3"/>
        <v>101721471</v>
      </c>
      <c r="G14" s="65">
        <f t="shared" si="3"/>
        <v>1988416615</v>
      </c>
      <c r="H14" s="66">
        <f>SUM(H7:H13)</f>
        <v>99.999999999999986</v>
      </c>
      <c r="I14" s="64">
        <f>SUM(I7:I13)</f>
        <v>88394</v>
      </c>
      <c r="J14" s="65">
        <f>SUM(J7:J13)</f>
        <v>1551017646.75</v>
      </c>
      <c r="K14" s="65">
        <f>SUM(K7:K13)</f>
        <v>20636349</v>
      </c>
      <c r="L14" s="65">
        <f t="shared" ref="L14:M14" si="4">SUM(L7:L13)</f>
        <v>599963994.50999999</v>
      </c>
      <c r="M14" s="65">
        <f t="shared" si="4"/>
        <v>42273191.75</v>
      </c>
      <c r="N14" s="65">
        <f>SUM(N7:N13)</f>
        <v>2213891182.0100002</v>
      </c>
      <c r="O14" s="66">
        <f>SUM(O7:O13)</f>
        <v>99.999999999999986</v>
      </c>
    </row>
    <row r="15" spans="1:15" ht="14.45" x14ac:dyDescent="0.3">
      <c r="C15" s="68"/>
    </row>
    <row r="17" spans="2:14" ht="14.45" x14ac:dyDescent="0.3">
      <c r="L17" s="68"/>
      <c r="M17" s="68"/>
      <c r="N17" s="68"/>
    </row>
    <row r="24" spans="2:14" ht="14.45" x14ac:dyDescent="0.3">
      <c r="B24" s="68"/>
    </row>
    <row r="25" spans="2:14" ht="14.45" x14ac:dyDescent="0.3">
      <c r="C25" s="68"/>
    </row>
  </sheetData>
  <mergeCells count="3">
    <mergeCell ref="A5:A6"/>
    <mergeCell ref="I5:O5"/>
    <mergeCell ref="B5:H5"/>
  </mergeCells>
  <pageMargins left="0.28000000000000003" right="0.2" top="0.78740157499999996" bottom="0.78740157499999996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3"/>
  <sheetViews>
    <sheetView workbookViewId="0">
      <selection activeCell="F18" sqref="F18"/>
    </sheetView>
  </sheetViews>
  <sheetFormatPr defaultColWidth="9.140625" defaultRowHeight="15" x14ac:dyDescent="0.25"/>
  <cols>
    <col min="1" max="1" width="19.5703125" style="1" customWidth="1"/>
    <col min="2" max="5" width="9.140625" style="1"/>
    <col min="6" max="6" width="10.7109375" style="1" customWidth="1"/>
    <col min="7" max="7" width="11.5703125" style="1" customWidth="1"/>
    <col min="8" max="8" width="9.140625" style="1"/>
    <col min="9" max="9" width="10.42578125" style="1" customWidth="1"/>
    <col min="10" max="10" width="10.140625" style="1" customWidth="1"/>
    <col min="11" max="11" width="11.85546875" style="1" customWidth="1"/>
    <col min="12" max="12" width="10" style="1" customWidth="1"/>
    <col min="13" max="13" width="10.28515625" style="1" customWidth="1"/>
    <col min="14" max="16384" width="9.140625" style="1"/>
  </cols>
  <sheetData>
    <row r="3" spans="1:13" x14ac:dyDescent="0.25">
      <c r="A3" s="3" t="s">
        <v>28</v>
      </c>
    </row>
    <row r="4" spans="1:13" thickBot="1" x14ac:dyDescent="0.35"/>
    <row r="5" spans="1:13" ht="15" customHeight="1" x14ac:dyDescent="0.25">
      <c r="A5" s="423" t="s">
        <v>2</v>
      </c>
      <c r="B5" s="430" t="s">
        <v>97</v>
      </c>
      <c r="C5" s="428"/>
      <c r="D5" s="428"/>
      <c r="E5" s="428"/>
      <c r="F5" s="428"/>
      <c r="G5" s="429"/>
      <c r="H5" s="430" t="s">
        <v>114</v>
      </c>
      <c r="I5" s="428"/>
      <c r="J5" s="428"/>
      <c r="K5" s="428"/>
      <c r="L5" s="428"/>
      <c r="M5" s="429"/>
    </row>
    <row r="6" spans="1:13" ht="34.5" thickBot="1" x14ac:dyDescent="0.3">
      <c r="A6" s="424"/>
      <c r="B6" s="32" t="s">
        <v>20</v>
      </c>
      <c r="C6" s="30" t="s">
        <v>29</v>
      </c>
      <c r="D6" s="30" t="s">
        <v>22</v>
      </c>
      <c r="E6" s="30" t="s">
        <v>23</v>
      </c>
      <c r="F6" s="8" t="s">
        <v>6</v>
      </c>
      <c r="G6" s="9" t="s">
        <v>30</v>
      </c>
      <c r="H6" s="32" t="s">
        <v>20</v>
      </c>
      <c r="I6" s="30" t="s">
        <v>29</v>
      </c>
      <c r="J6" s="30" t="s">
        <v>22</v>
      </c>
      <c r="K6" s="30" t="s">
        <v>23</v>
      </c>
      <c r="L6" s="8" t="s">
        <v>6</v>
      </c>
      <c r="M6" s="9" t="s">
        <v>30</v>
      </c>
    </row>
    <row r="7" spans="1:13" ht="25.5" customHeight="1" thickTop="1" x14ac:dyDescent="0.25">
      <c r="A7" s="33" t="s">
        <v>24</v>
      </c>
      <c r="B7" s="259">
        <f>'3'!B7</f>
        <v>8648</v>
      </c>
      <c r="C7" s="260">
        <f>'3'!C7/'3'!B7</f>
        <v>31962.365055504164</v>
      </c>
      <c r="D7" s="260">
        <f>'3'!D7/'3'!B7</f>
        <v>234.69657724329323</v>
      </c>
      <c r="E7" s="260">
        <f>'3'!E7/'3'!B7</f>
        <v>12082.118987049029</v>
      </c>
      <c r="F7" s="260">
        <f>'3'!F7/'3'!B7</f>
        <v>2944.3341813135985</v>
      </c>
      <c r="G7" s="261">
        <f>SUM(C7:F7)</f>
        <v>47223.514801110083</v>
      </c>
      <c r="H7" s="39">
        <f>'3'!I7</f>
        <v>8688</v>
      </c>
      <c r="I7" s="34">
        <f>'3'!J7/'3'!$I$7</f>
        <v>36091.860267034994</v>
      </c>
      <c r="J7" s="34">
        <f>'3'!K7/'3'!$I$7</f>
        <v>308.6704650092081</v>
      </c>
      <c r="K7" s="34">
        <f>'3'!L7/'3'!$I$7</f>
        <v>13532.942133977902</v>
      </c>
      <c r="L7" s="34">
        <f>'3'!M7/'3'!$I$7</f>
        <v>1020.880985267035</v>
      </c>
      <c r="M7" s="261">
        <f>I7+J7+K7+L7</f>
        <v>50954.353851289139</v>
      </c>
    </row>
    <row r="8" spans="1:13" ht="25.5" customHeight="1" x14ac:dyDescent="0.25">
      <c r="A8" s="37" t="s">
        <v>80</v>
      </c>
      <c r="B8" s="11">
        <f>'3'!B8</f>
        <v>23386</v>
      </c>
      <c r="C8" s="34">
        <f>'3'!C8/'3'!B8</f>
        <v>30573.152527152997</v>
      </c>
      <c r="D8" s="34">
        <f>'3'!D8/'3'!B8</f>
        <v>291.91071581287952</v>
      </c>
      <c r="E8" s="34">
        <f>'3'!E8/'3'!B8</f>
        <v>12458.632344137519</v>
      </c>
      <c r="F8" s="34">
        <f>'3'!F8/'3'!B8</f>
        <v>3017.3312665697426</v>
      </c>
      <c r="G8" s="41">
        <f t="shared" ref="G8:G12" si="0">SUM(C8:F8)</f>
        <v>46341.026853673138</v>
      </c>
      <c r="H8" s="39">
        <f>'3'!I8</f>
        <v>23497</v>
      </c>
      <c r="I8" s="34">
        <f>'3'!J8/'3'!$I$8</f>
        <v>35285.657945695195</v>
      </c>
      <c r="J8" s="34">
        <f>'3'!K8/'3'!$I$8</f>
        <v>374.5570923947738</v>
      </c>
      <c r="K8" s="34">
        <f>'3'!L8/'3'!$I$8</f>
        <v>13935.749638251691</v>
      </c>
      <c r="L8" s="34">
        <f>'3'!M8/'3'!$I$8</f>
        <v>1181.2413925181938</v>
      </c>
      <c r="M8" s="41">
        <f t="shared" ref="M8:M12" si="1">I8+J8+K8+L8</f>
        <v>50777.206068859858</v>
      </c>
    </row>
    <row r="9" spans="1:13" ht="25.5" customHeight="1" x14ac:dyDescent="0.25">
      <c r="A9" s="37" t="s">
        <v>81</v>
      </c>
      <c r="B9" s="11">
        <f>'3'!B9</f>
        <v>921</v>
      </c>
      <c r="C9" s="34">
        <f>'3'!C9/'3'!B9</f>
        <v>63012.662323561344</v>
      </c>
      <c r="D9" s="34">
        <f>'3'!D9/'3'!B9</f>
        <v>877.89793702497286</v>
      </c>
      <c r="E9" s="34">
        <f>'3'!E9/'3'!B9</f>
        <v>26032.516829533117</v>
      </c>
      <c r="F9" s="34">
        <f>'3'!F9/'3'!B9</f>
        <v>493.6026058631922</v>
      </c>
      <c r="G9" s="41">
        <f t="shared" si="0"/>
        <v>90416.679695982632</v>
      </c>
      <c r="H9" s="39">
        <f>'3'!I9</f>
        <v>880</v>
      </c>
      <c r="I9" s="34">
        <f>'3'!J9/'3'!$I$9</f>
        <v>74007.327272727271</v>
      </c>
      <c r="J9" s="34">
        <f>'3'!K9/'3'!$I$9</f>
        <v>925.04090909090905</v>
      </c>
      <c r="K9" s="34">
        <f>'3'!L9/'3'!$I$9</f>
        <v>29011.167045454546</v>
      </c>
      <c r="L9" s="34">
        <f>'3'!M9/'3'!$I$9</f>
        <v>1350.9985795454545</v>
      </c>
      <c r="M9" s="41">
        <f t="shared" si="1"/>
        <v>105294.53380681817</v>
      </c>
    </row>
    <row r="10" spans="1:13" ht="25.5" customHeight="1" x14ac:dyDescent="0.25">
      <c r="A10" s="37" t="s">
        <v>13</v>
      </c>
      <c r="B10" s="11">
        <f>'3'!B10</f>
        <v>8052</v>
      </c>
      <c r="C10" s="34">
        <f>'3'!C10/'3'!B10</f>
        <v>13124.14393939394</v>
      </c>
      <c r="D10" s="34">
        <f>'3'!D10/'3'!B10</f>
        <v>101.04098360655738</v>
      </c>
      <c r="E10" s="34">
        <f>'3'!E10/'3'!B10</f>
        <v>4857.5683060109286</v>
      </c>
      <c r="F10" s="34">
        <f>'3'!F10/'3'!B10</f>
        <v>452.57563338301043</v>
      </c>
      <c r="G10" s="41">
        <f t="shared" si="0"/>
        <v>18535.328862394435</v>
      </c>
      <c r="H10" s="39">
        <f>'3'!I10</f>
        <v>9437</v>
      </c>
      <c r="I10" s="34">
        <f>'3'!J10/'3'!$I$10</f>
        <v>13543.125675532479</v>
      </c>
      <c r="J10" s="34">
        <f>'3'!K10/'3'!$I$10</f>
        <v>83.618204938009967</v>
      </c>
      <c r="K10" s="34">
        <f>'3'!L10/'3'!$I$10</f>
        <v>5005.58683903783</v>
      </c>
      <c r="L10" s="34">
        <f>'3'!M10/'3'!$I$10</f>
        <v>202.11041644590441</v>
      </c>
      <c r="M10" s="41">
        <f t="shared" si="1"/>
        <v>18834.441135954221</v>
      </c>
    </row>
    <row r="11" spans="1:13" ht="25.5" customHeight="1" x14ac:dyDescent="0.25">
      <c r="A11" s="37" t="s">
        <v>31</v>
      </c>
      <c r="B11" s="11">
        <f>'3'!B11</f>
        <v>7773</v>
      </c>
      <c r="C11" s="34">
        <f>'3'!C11/'3'!B11</f>
        <v>9658.5825292679783</v>
      </c>
      <c r="D11" s="34">
        <f>'3'!D11/'3'!B11</f>
        <v>0</v>
      </c>
      <c r="E11" s="34">
        <f>'3'!E11/'3'!B11</f>
        <v>3507.9467387109225</v>
      </c>
      <c r="F11" s="34">
        <f>'3'!F11/'3'!B11</f>
        <v>20.336034992924226</v>
      </c>
      <c r="G11" s="41">
        <f t="shared" si="0"/>
        <v>13186.865302971826</v>
      </c>
      <c r="H11" s="39">
        <f>'3'!I11</f>
        <v>7844</v>
      </c>
      <c r="I11" s="34">
        <f>'3'!J11/'3'!$I$11</f>
        <v>10611.58885772565</v>
      </c>
      <c r="J11" s="34">
        <f>'3'!K11/'3'!$I$11</f>
        <v>0</v>
      </c>
      <c r="K11" s="34">
        <f>'3'!L11/'3'!$I$11</f>
        <v>3850.6002039775626</v>
      </c>
      <c r="L11" s="34">
        <f>'3'!M11/'3'!$I$11</f>
        <v>0</v>
      </c>
      <c r="M11" s="41">
        <f t="shared" si="1"/>
        <v>14462.189061703213</v>
      </c>
    </row>
    <row r="12" spans="1:13" ht="25.5" customHeight="1" x14ac:dyDescent="0.25">
      <c r="A12" s="37" t="s">
        <v>26</v>
      </c>
      <c r="B12" s="11">
        <f>'3'!B12</f>
        <v>26979</v>
      </c>
      <c r="C12" s="34">
        <f>'3'!C12/'3'!B12</f>
        <v>3193.4524259609325</v>
      </c>
      <c r="D12" s="34">
        <f>'3'!D12/'3'!B12</f>
        <v>1.5567663738463249</v>
      </c>
      <c r="E12" s="34">
        <f>'3'!E12/'3'!B12</f>
        <v>1199.4223284777049</v>
      </c>
      <c r="F12" s="34">
        <f>'3'!F12/'3'!B12</f>
        <v>4.1251343637644098</v>
      </c>
      <c r="G12" s="41">
        <f t="shared" si="0"/>
        <v>4398.5566551762477</v>
      </c>
      <c r="H12" s="39">
        <f>'3'!I12</f>
        <v>25276</v>
      </c>
      <c r="I12" s="34">
        <f>'3'!J12/'3'!$I$12</f>
        <v>4050.5767130875138</v>
      </c>
      <c r="J12" s="34">
        <f>'3'!K12/'3'!$I$12</f>
        <v>0</v>
      </c>
      <c r="K12" s="34">
        <f>'3'!L12/'3'!$I$12</f>
        <v>1511.7090916284221</v>
      </c>
      <c r="L12" s="34">
        <f>'3'!M12/'3'!$I$12</f>
        <v>0</v>
      </c>
      <c r="M12" s="41">
        <f t="shared" si="1"/>
        <v>5562.2858047159361</v>
      </c>
    </row>
    <row r="13" spans="1:13" ht="25.5" customHeight="1" thickBot="1" x14ac:dyDescent="0.35">
      <c r="A13" s="42" t="s">
        <v>15</v>
      </c>
      <c r="B13" s="262">
        <f>'3'!B13</f>
        <v>7753</v>
      </c>
      <c r="C13" s="43">
        <f>'3'!C13/'3'!B13</f>
        <v>3135.0488843028506</v>
      </c>
      <c r="D13" s="43">
        <f>'3'!D13/'3'!B13</f>
        <v>753.0661679349929</v>
      </c>
      <c r="E13" s="43">
        <f>'3'!E13/'3'!B13</f>
        <v>1436.0900296659358</v>
      </c>
      <c r="F13" s="43">
        <f>'3'!F13/'3'!B13</f>
        <v>171.21746420740359</v>
      </c>
      <c r="G13" s="280">
        <f>SUM(C13:F13)</f>
        <v>5495.4225461111828</v>
      </c>
      <c r="H13" s="169">
        <f>'3'!I13</f>
        <v>12772</v>
      </c>
      <c r="I13" s="43">
        <f>'3'!J13/'3'!$I$13</f>
        <v>2332.5912151581583</v>
      </c>
      <c r="J13" s="43">
        <f>'3'!K13/'3'!$I$13</f>
        <v>591.176871280927</v>
      </c>
      <c r="K13" s="43">
        <f>'3'!L13/'3'!$I$13</f>
        <v>1077.3463044159098</v>
      </c>
      <c r="L13" s="43">
        <f>'3'!M13/'3'!$I$13</f>
        <v>199.80848731600375</v>
      </c>
      <c r="M13" s="280">
        <f>I13+J13+K13+L13</f>
        <v>4200.922878170999</v>
      </c>
    </row>
  </sheetData>
  <mergeCells count="3">
    <mergeCell ref="A5:A6"/>
    <mergeCell ref="H5:M5"/>
    <mergeCell ref="B5:G5"/>
  </mergeCells>
  <pageMargins left="0.27559055118110237" right="0.70866141732283472" top="0.78740157480314965" bottom="0.78740157480314965" header="0.31496062992125984" footer="0.31496062992125984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5"/>
  <sheetViews>
    <sheetView workbookViewId="0">
      <selection activeCell="E18" sqref="E18"/>
    </sheetView>
  </sheetViews>
  <sheetFormatPr defaultColWidth="9.140625" defaultRowHeight="15" x14ac:dyDescent="0.25"/>
  <cols>
    <col min="1" max="1" width="20.5703125" style="1" customWidth="1"/>
    <col min="2" max="2" width="13.7109375" style="1" customWidth="1"/>
    <col min="3" max="5" width="14.28515625" style="1" customWidth="1"/>
    <col min="6" max="6" width="12.85546875" style="1" customWidth="1"/>
    <col min="7" max="7" width="14.42578125" style="1" customWidth="1"/>
    <col min="8" max="16384" width="9.140625" style="1"/>
  </cols>
  <sheetData>
    <row r="3" spans="1:17" x14ac:dyDescent="0.25">
      <c r="A3" s="3" t="s">
        <v>34</v>
      </c>
      <c r="B3" s="67"/>
      <c r="C3" s="67"/>
      <c r="D3" s="67"/>
      <c r="E3" s="67"/>
      <c r="F3" s="67"/>
      <c r="G3" s="67"/>
    </row>
    <row r="4" spans="1:17" thickBot="1" x14ac:dyDescent="0.35"/>
    <row r="5" spans="1:17" ht="15.75" customHeight="1" thickBot="1" x14ac:dyDescent="0.3">
      <c r="A5" s="431" t="s">
        <v>2</v>
      </c>
      <c r="B5" s="433">
        <v>2017</v>
      </c>
      <c r="C5" s="434"/>
      <c r="D5" s="433">
        <v>2018</v>
      </c>
      <c r="E5" s="434"/>
      <c r="F5" s="435" t="s">
        <v>111</v>
      </c>
      <c r="G5" s="436"/>
      <c r="J5" s="68"/>
      <c r="K5" s="68"/>
      <c r="L5" s="68"/>
      <c r="M5" s="68"/>
      <c r="N5" s="68"/>
      <c r="O5" s="68"/>
    </row>
    <row r="6" spans="1:17" ht="34.5" thickBot="1" x14ac:dyDescent="0.3">
      <c r="A6" s="432"/>
      <c r="B6" s="69" t="s">
        <v>96</v>
      </c>
      <c r="C6" s="8" t="s">
        <v>32</v>
      </c>
      <c r="D6" s="295" t="s">
        <v>112</v>
      </c>
      <c r="E6" s="296" t="s">
        <v>32</v>
      </c>
      <c r="F6" s="70" t="s">
        <v>20</v>
      </c>
      <c r="G6" s="71" t="s">
        <v>32</v>
      </c>
      <c r="J6" s="2"/>
      <c r="K6" s="2"/>
      <c r="L6" s="2"/>
      <c r="M6" s="68"/>
      <c r="N6" s="68"/>
      <c r="O6" s="68"/>
    </row>
    <row r="7" spans="1:17" ht="15.75" thickTop="1" x14ac:dyDescent="0.25">
      <c r="A7" s="33" t="s">
        <v>24</v>
      </c>
      <c r="B7" s="39">
        <v>166</v>
      </c>
      <c r="C7" s="72">
        <v>18846019</v>
      </c>
      <c r="D7" s="254">
        <v>195</v>
      </c>
      <c r="E7" s="256">
        <v>7839220</v>
      </c>
      <c r="F7" s="73">
        <f t="shared" ref="F7:G12" si="0">D7/B7%</f>
        <v>117.46987951807229</v>
      </c>
      <c r="G7" s="74">
        <f t="shared" si="0"/>
        <v>41.59615884925087</v>
      </c>
      <c r="I7" s="68"/>
      <c r="J7" s="131"/>
      <c r="K7" s="131"/>
      <c r="L7" s="68"/>
      <c r="M7" s="68"/>
      <c r="N7" s="68"/>
      <c r="O7" s="68"/>
      <c r="Q7" s="68"/>
    </row>
    <row r="8" spans="1:17" x14ac:dyDescent="0.25">
      <c r="A8" s="37" t="s">
        <v>33</v>
      </c>
      <c r="B8" s="75">
        <v>339</v>
      </c>
      <c r="C8" s="38">
        <v>16584140</v>
      </c>
      <c r="D8" s="254">
        <v>397</v>
      </c>
      <c r="E8" s="72">
        <v>21176156</v>
      </c>
      <c r="F8" s="73">
        <f t="shared" si="0"/>
        <v>117.10914454277285</v>
      </c>
      <c r="G8" s="74">
        <f t="shared" si="0"/>
        <v>127.68920185188982</v>
      </c>
      <c r="I8" s="68"/>
      <c r="J8" s="131"/>
      <c r="K8" s="131"/>
      <c r="L8" s="68"/>
      <c r="M8" s="68"/>
      <c r="N8" s="68"/>
      <c r="O8" s="68"/>
    </row>
    <row r="9" spans="1:17" x14ac:dyDescent="0.25">
      <c r="A9" s="37" t="s">
        <v>9</v>
      </c>
      <c r="B9" s="75">
        <v>774</v>
      </c>
      <c r="C9" s="38">
        <v>45697972</v>
      </c>
      <c r="D9" s="254">
        <v>795</v>
      </c>
      <c r="E9" s="72">
        <v>53110529</v>
      </c>
      <c r="F9" s="73">
        <f t="shared" si="0"/>
        <v>102.71317829457364</v>
      </c>
      <c r="G9" s="74">
        <f t="shared" si="0"/>
        <v>116.22075701740113</v>
      </c>
      <c r="I9" s="68"/>
      <c r="J9" s="131"/>
      <c r="K9" s="131"/>
      <c r="L9" s="68"/>
      <c r="M9" s="68"/>
      <c r="N9" s="68"/>
      <c r="O9" s="68"/>
    </row>
    <row r="10" spans="1:17" x14ac:dyDescent="0.25">
      <c r="A10" s="37" t="s">
        <v>31</v>
      </c>
      <c r="B10" s="75">
        <v>197</v>
      </c>
      <c r="C10" s="38">
        <v>2591562</v>
      </c>
      <c r="D10" s="254">
        <v>242</v>
      </c>
      <c r="E10" s="72">
        <v>3085725</v>
      </c>
      <c r="F10" s="73">
        <f t="shared" si="0"/>
        <v>122.84263959390863</v>
      </c>
      <c r="G10" s="74">
        <f t="shared" si="0"/>
        <v>119.06815272025135</v>
      </c>
      <c r="I10" s="68"/>
      <c r="J10" s="131"/>
      <c r="K10" s="131"/>
      <c r="L10" s="68"/>
      <c r="M10" s="68"/>
      <c r="N10" s="68"/>
      <c r="O10" s="68"/>
    </row>
    <row r="11" spans="1:17" ht="15.75" thickBot="1" x14ac:dyDescent="0.25">
      <c r="A11" s="76" t="s">
        <v>26</v>
      </c>
      <c r="B11" s="77">
        <v>1773</v>
      </c>
      <c r="C11" s="78">
        <v>7064828</v>
      </c>
      <c r="D11" s="255">
        <v>1808</v>
      </c>
      <c r="E11" s="257">
        <v>8633392</v>
      </c>
      <c r="F11" s="218">
        <f t="shared" si="0"/>
        <v>101.97405527354766</v>
      </c>
      <c r="G11" s="219">
        <f t="shared" si="0"/>
        <v>122.20243720016963</v>
      </c>
      <c r="I11" s="68"/>
      <c r="J11" s="131"/>
      <c r="K11" s="131"/>
      <c r="L11" s="68"/>
      <c r="M11" s="131"/>
      <c r="N11" s="2"/>
      <c r="O11" s="2"/>
    </row>
    <row r="12" spans="1:17" ht="15.6" thickTop="1" thickBot="1" x14ac:dyDescent="0.35">
      <c r="A12" s="63" t="s">
        <v>27</v>
      </c>
      <c r="B12" s="79">
        <f>SUM(B7:B11)</f>
        <v>3249</v>
      </c>
      <c r="C12" s="80">
        <f>SUM(C7:C11)</f>
        <v>90784521</v>
      </c>
      <c r="D12" s="252">
        <f>SUM(D7:D11)</f>
        <v>3437</v>
      </c>
      <c r="E12" s="253">
        <f>SUM(E7:E11)</f>
        <v>93845022</v>
      </c>
      <c r="F12" s="297">
        <f t="shared" si="0"/>
        <v>105.78639581409664</v>
      </c>
      <c r="G12" s="258">
        <f t="shared" si="0"/>
        <v>103.37117051044417</v>
      </c>
      <c r="I12" s="68"/>
      <c r="J12" s="131"/>
      <c r="K12" s="131"/>
      <c r="L12" s="68"/>
      <c r="M12" s="131"/>
      <c r="N12" s="2"/>
      <c r="O12" s="2"/>
    </row>
    <row r="13" spans="1:17" ht="14.45" x14ac:dyDescent="0.3">
      <c r="I13" s="68"/>
      <c r="J13" s="131"/>
      <c r="K13" s="131"/>
      <c r="L13" s="68"/>
      <c r="M13" s="198"/>
      <c r="N13" s="2"/>
      <c r="O13" s="2"/>
    </row>
    <row r="14" spans="1:17" ht="14.45" x14ac:dyDescent="0.3">
      <c r="I14" s="68"/>
      <c r="J14" s="131"/>
      <c r="K14" s="131"/>
      <c r="L14" s="68"/>
      <c r="M14" s="131"/>
      <c r="N14" s="2"/>
      <c r="O14" s="2"/>
    </row>
    <row r="15" spans="1:17" ht="14.45" x14ac:dyDescent="0.3">
      <c r="I15" s="68"/>
      <c r="J15" s="131"/>
      <c r="K15" s="198"/>
      <c r="L15" s="131"/>
      <c r="M15" s="131"/>
      <c r="N15" s="2"/>
      <c r="O15" s="2"/>
    </row>
    <row r="16" spans="1:17" ht="14.45" x14ac:dyDescent="0.3">
      <c r="I16" s="68"/>
      <c r="J16" s="131"/>
      <c r="K16" s="131"/>
      <c r="L16" s="131"/>
      <c r="M16" s="131"/>
      <c r="N16" s="2"/>
      <c r="O16" s="2"/>
    </row>
    <row r="17" spans="9:17" ht="14.45" x14ac:dyDescent="0.3">
      <c r="I17" s="68"/>
      <c r="J17" s="131"/>
      <c r="K17" s="198"/>
      <c r="L17" s="131"/>
      <c r="M17" s="131"/>
      <c r="N17" s="2"/>
      <c r="O17" s="2"/>
    </row>
    <row r="18" spans="9:17" ht="14.45" x14ac:dyDescent="0.3">
      <c r="I18" s="68"/>
      <c r="J18" s="131"/>
      <c r="K18" s="131"/>
      <c r="L18" s="131"/>
      <c r="M18" s="131"/>
      <c r="N18" s="2"/>
      <c r="O18" s="2"/>
    </row>
    <row r="19" spans="9:17" ht="14.45" x14ac:dyDescent="0.3">
      <c r="I19" s="68"/>
      <c r="J19" s="131"/>
      <c r="K19" s="131"/>
      <c r="L19" s="131"/>
      <c r="M19" s="131"/>
      <c r="N19" s="2"/>
      <c r="O19" s="2"/>
      <c r="P19" s="2"/>
      <c r="Q19" s="2"/>
    </row>
    <row r="20" spans="9:17" ht="14.45" x14ac:dyDescent="0.3">
      <c r="I20" s="68"/>
      <c r="J20" s="68"/>
      <c r="K20" s="68"/>
      <c r="L20" s="68"/>
      <c r="M20" s="68"/>
    </row>
    <row r="21" spans="9:17" ht="14.45" x14ac:dyDescent="0.3">
      <c r="I21" s="194"/>
      <c r="J21" s="68"/>
      <c r="K21" s="68"/>
      <c r="L21" s="68"/>
      <c r="M21" s="68"/>
    </row>
    <row r="22" spans="9:17" ht="14.45" x14ac:dyDescent="0.3">
      <c r="I22" s="68"/>
      <c r="J22" s="68"/>
      <c r="K22" s="68"/>
      <c r="L22" s="68"/>
      <c r="M22" s="68"/>
    </row>
    <row r="23" spans="9:17" ht="14.45" x14ac:dyDescent="0.3">
      <c r="I23" s="194"/>
      <c r="J23" s="68"/>
      <c r="K23" s="68"/>
      <c r="L23" s="68"/>
      <c r="M23" s="68"/>
    </row>
    <row r="24" spans="9:17" ht="14.45" x14ac:dyDescent="0.3">
      <c r="J24" s="68"/>
    </row>
    <row r="25" spans="9:17" ht="14.45" x14ac:dyDescent="0.3">
      <c r="I25" s="68"/>
      <c r="J25" s="68"/>
    </row>
  </sheetData>
  <mergeCells count="4">
    <mergeCell ref="A5:A6"/>
    <mergeCell ref="B5:C5"/>
    <mergeCell ref="F5:G5"/>
    <mergeCell ref="D5:E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workbookViewId="0">
      <selection activeCell="D20" sqref="D20"/>
    </sheetView>
  </sheetViews>
  <sheetFormatPr defaultColWidth="9.140625" defaultRowHeight="15" x14ac:dyDescent="0.25"/>
  <cols>
    <col min="1" max="1" width="22.28515625" style="1" customWidth="1"/>
    <col min="2" max="2" width="12.42578125" style="1" customWidth="1"/>
    <col min="3" max="5" width="14" style="1" customWidth="1"/>
    <col min="6" max="6" width="12.140625" style="1" customWidth="1"/>
    <col min="7" max="7" width="14.42578125" style="1" customWidth="1"/>
    <col min="8" max="16384" width="9.140625" style="1"/>
  </cols>
  <sheetData>
    <row r="3" spans="1:7" x14ac:dyDescent="0.25">
      <c r="A3" s="3" t="s">
        <v>35</v>
      </c>
      <c r="B3" s="67"/>
      <c r="C3" s="67"/>
      <c r="D3" s="67"/>
      <c r="E3" s="67"/>
      <c r="F3" s="67"/>
      <c r="G3" s="67"/>
    </row>
    <row r="4" spans="1:7" thickBot="1" x14ac:dyDescent="0.35"/>
    <row r="5" spans="1:7" ht="15.75" customHeight="1" thickBot="1" x14ac:dyDescent="0.3">
      <c r="A5" s="431" t="s">
        <v>2</v>
      </c>
      <c r="B5" s="437">
        <v>2017</v>
      </c>
      <c r="C5" s="438"/>
      <c r="D5" s="437">
        <v>2018</v>
      </c>
      <c r="E5" s="438"/>
      <c r="F5" s="435" t="s">
        <v>111</v>
      </c>
      <c r="G5" s="436"/>
    </row>
    <row r="6" spans="1:7" ht="34.5" thickBot="1" x14ac:dyDescent="0.3">
      <c r="A6" s="432"/>
      <c r="B6" s="69" t="s">
        <v>96</v>
      </c>
      <c r="C6" s="71" t="s">
        <v>32</v>
      </c>
      <c r="D6" s="281" t="s">
        <v>112</v>
      </c>
      <c r="E6" s="71" t="s">
        <v>32</v>
      </c>
      <c r="F6" s="70" t="s">
        <v>20</v>
      </c>
      <c r="G6" s="71" t="s">
        <v>32</v>
      </c>
    </row>
    <row r="7" spans="1:7" ht="15.75" thickTop="1" x14ac:dyDescent="0.25">
      <c r="A7" s="33" t="s">
        <v>24</v>
      </c>
      <c r="B7" s="39">
        <v>166</v>
      </c>
      <c r="C7" s="72">
        <f>18846019/B7</f>
        <v>113530.23493975903</v>
      </c>
      <c r="D7" s="39">
        <f>'5'!D7</f>
        <v>195</v>
      </c>
      <c r="E7" s="72">
        <f>7839220/D7</f>
        <v>40201.128205128203</v>
      </c>
      <c r="F7" s="73">
        <f>D7/B7%</f>
        <v>117.46987951807229</v>
      </c>
      <c r="G7" s="74">
        <f>E7/C7%</f>
        <v>35.410063430644335</v>
      </c>
    </row>
    <row r="8" spans="1:7" x14ac:dyDescent="0.25">
      <c r="A8" s="37" t="s">
        <v>33</v>
      </c>
      <c r="B8" s="39">
        <v>339</v>
      </c>
      <c r="C8" s="38">
        <f>16584140/B8</f>
        <v>48920.76696165192</v>
      </c>
      <c r="D8" s="39">
        <f>'5'!D8</f>
        <v>397</v>
      </c>
      <c r="E8" s="72">
        <f>21176156/D8</f>
        <v>53340.443324937027</v>
      </c>
      <c r="F8" s="73">
        <f t="shared" ref="F8:F12" si="0">D8/B8%</f>
        <v>117.10914454277285</v>
      </c>
      <c r="G8" s="74">
        <f t="shared" ref="G8:G12" si="1">E8/C8%</f>
        <v>109.03435624128626</v>
      </c>
    </row>
    <row r="9" spans="1:7" x14ac:dyDescent="0.25">
      <c r="A9" s="37" t="s">
        <v>9</v>
      </c>
      <c r="B9" s="39">
        <v>774</v>
      </c>
      <c r="C9" s="38">
        <f>45697972/B9</f>
        <v>59041.307493540051</v>
      </c>
      <c r="D9" s="39">
        <f>'5'!D9</f>
        <v>795</v>
      </c>
      <c r="E9" s="72">
        <f>53110529/D9</f>
        <v>66805.696855345916</v>
      </c>
      <c r="F9" s="73">
        <f t="shared" si="0"/>
        <v>102.71317829457364</v>
      </c>
      <c r="G9" s="74">
        <f t="shared" si="1"/>
        <v>113.15077475656413</v>
      </c>
    </row>
    <row r="10" spans="1:7" x14ac:dyDescent="0.25">
      <c r="A10" s="81" t="s">
        <v>31</v>
      </c>
      <c r="B10" s="39">
        <v>197</v>
      </c>
      <c r="C10" s="38">
        <f>2591562/B10</f>
        <v>13155.137055837564</v>
      </c>
      <c r="D10" s="39">
        <f>'5'!D10</f>
        <v>242</v>
      </c>
      <c r="E10" s="72">
        <f>3085725/D10</f>
        <v>12750.929752066115</v>
      </c>
      <c r="F10" s="73">
        <f t="shared" si="0"/>
        <v>122.84263959390863</v>
      </c>
      <c r="G10" s="74">
        <f t="shared" si="1"/>
        <v>96.927380520204579</v>
      </c>
    </row>
    <row r="11" spans="1:7" ht="15.75" thickBot="1" x14ac:dyDescent="0.3">
      <c r="A11" s="81" t="s">
        <v>26</v>
      </c>
      <c r="B11" s="213">
        <v>1733</v>
      </c>
      <c r="C11" s="212">
        <f>7064828/B11</f>
        <v>4076.6462781304099</v>
      </c>
      <c r="D11" s="213">
        <f>'5'!D11</f>
        <v>1808</v>
      </c>
      <c r="E11" s="217">
        <f>8633392/D11</f>
        <v>4775.1061946902655</v>
      </c>
      <c r="F11" s="218">
        <f t="shared" si="0"/>
        <v>104.32775533756492</v>
      </c>
      <c r="G11" s="219">
        <f t="shared" si="1"/>
        <v>117.13319893135727</v>
      </c>
    </row>
    <row r="12" spans="1:7" thickBot="1" x14ac:dyDescent="0.35">
      <c r="A12" s="214" t="s">
        <v>27</v>
      </c>
      <c r="B12" s="298">
        <f>SUM(B7:B11)</f>
        <v>3209</v>
      </c>
      <c r="C12" s="299">
        <f>90784521/B12</f>
        <v>28290.595512620755</v>
      </c>
      <c r="D12" s="300">
        <f>SUM(D7:D11)</f>
        <v>3437</v>
      </c>
      <c r="E12" s="301">
        <f>93845022/D12</f>
        <v>27304.341576956649</v>
      </c>
      <c r="F12" s="302">
        <f t="shared" si="0"/>
        <v>107.10501713929573</v>
      </c>
      <c r="G12" s="303">
        <f t="shared" si="1"/>
        <v>96.513845262733582</v>
      </c>
    </row>
    <row r="18" spans="1:1" ht="14.45" x14ac:dyDescent="0.3">
      <c r="A18" s="1" t="s">
        <v>1</v>
      </c>
    </row>
  </sheetData>
  <mergeCells count="4">
    <mergeCell ref="A5:A6"/>
    <mergeCell ref="D5:E5"/>
    <mergeCell ref="B5:C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H19" sqref="H19"/>
    </sheetView>
  </sheetViews>
  <sheetFormatPr defaultColWidth="9.140625" defaultRowHeight="15" x14ac:dyDescent="0.25"/>
  <cols>
    <col min="1" max="1" width="8.5703125" style="1" customWidth="1"/>
    <col min="2" max="2" width="10.28515625" style="1" customWidth="1"/>
    <col min="3" max="3" width="12.28515625" style="84" customWidth="1"/>
    <col min="4" max="4" width="9.42578125" style="1" bestFit="1" customWidth="1"/>
    <col min="5" max="5" width="12.140625" style="1" customWidth="1"/>
    <col min="6" max="6" width="10.85546875" style="1" customWidth="1"/>
    <col min="7" max="7" width="8.7109375" style="1" customWidth="1"/>
    <col min="8" max="8" width="9.28515625" style="1" customWidth="1"/>
    <col min="9" max="9" width="9.42578125" style="1" customWidth="1"/>
    <col min="10" max="10" width="8.5703125" style="1" customWidth="1"/>
    <col min="11" max="11" width="9.7109375" style="1" customWidth="1"/>
    <col min="12" max="12" width="9.5703125" style="84" customWidth="1"/>
    <col min="13" max="13" width="8.28515625" style="1" customWidth="1"/>
    <col min="14" max="14" width="8.85546875" style="1" customWidth="1"/>
    <col min="15" max="15" width="9.85546875" style="1" customWidth="1"/>
    <col min="16" max="17" width="10.85546875" style="1" bestFit="1" customWidth="1"/>
    <col min="18" max="18" width="12.28515625" style="1" bestFit="1" customWidth="1"/>
    <col min="19" max="19" width="10.85546875" style="1" bestFit="1" customWidth="1"/>
    <col min="20" max="16384" width="9.140625" style="1"/>
  </cols>
  <sheetData>
    <row r="1" spans="1:19" ht="14.45" x14ac:dyDescent="0.3">
      <c r="A1" s="82"/>
    </row>
    <row r="2" spans="1:19" ht="14.45" x14ac:dyDescent="0.3">
      <c r="A2" s="1" t="s">
        <v>1</v>
      </c>
      <c r="G2" s="84"/>
      <c r="H2" s="68"/>
      <c r="I2" s="68"/>
      <c r="J2" s="68"/>
      <c r="K2" s="68"/>
    </row>
    <row r="3" spans="1:19" ht="14.45" x14ac:dyDescent="0.3">
      <c r="G3" s="84"/>
      <c r="H3" s="68"/>
      <c r="I3" s="68"/>
      <c r="J3" s="68"/>
      <c r="K3" s="68"/>
    </row>
    <row r="4" spans="1:19" x14ac:dyDescent="0.25">
      <c r="A4" s="3" t="s">
        <v>109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178"/>
      <c r="N4" s="178"/>
      <c r="O4" s="178"/>
    </row>
    <row r="5" spans="1:19" thickBot="1" x14ac:dyDescent="0.35"/>
    <row r="6" spans="1:19" ht="15.75" thickBot="1" x14ac:dyDescent="0.3">
      <c r="A6" s="439" t="s">
        <v>110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1"/>
    </row>
    <row r="7" spans="1:19" ht="15" customHeight="1" x14ac:dyDescent="0.25">
      <c r="A7" s="442" t="s">
        <v>36</v>
      </c>
      <c r="B7" s="444" t="s">
        <v>37</v>
      </c>
      <c r="C7" s="446" t="s">
        <v>38</v>
      </c>
      <c r="D7" s="448" t="s">
        <v>39</v>
      </c>
      <c r="E7" s="450" t="s">
        <v>40</v>
      </c>
      <c r="F7" s="451"/>
      <c r="G7" s="451"/>
      <c r="H7" s="451"/>
      <c r="I7" s="451"/>
      <c r="J7" s="451"/>
      <c r="K7" s="451"/>
      <c r="L7" s="451"/>
      <c r="M7" s="451"/>
      <c r="N7" s="452"/>
      <c r="O7" s="442" t="s">
        <v>41</v>
      </c>
    </row>
    <row r="8" spans="1:19" ht="75" customHeight="1" thickBot="1" x14ac:dyDescent="0.3">
      <c r="A8" s="443"/>
      <c r="B8" s="445"/>
      <c r="C8" s="447"/>
      <c r="D8" s="449"/>
      <c r="E8" s="176" t="s">
        <v>42</v>
      </c>
      <c r="F8" s="177" t="s">
        <v>43</v>
      </c>
      <c r="G8" s="177" t="s">
        <v>44</v>
      </c>
      <c r="H8" s="177" t="s">
        <v>45</v>
      </c>
      <c r="I8" s="177" t="s">
        <v>46</v>
      </c>
      <c r="J8" s="177" t="s">
        <v>47</v>
      </c>
      <c r="K8" s="177" t="s">
        <v>77</v>
      </c>
      <c r="L8" s="86" t="s">
        <v>48</v>
      </c>
      <c r="M8" s="177" t="s">
        <v>49</v>
      </c>
      <c r="N8" s="87" t="s">
        <v>50</v>
      </c>
      <c r="O8" s="443"/>
    </row>
    <row r="9" spans="1:19" ht="21.75" customHeight="1" thickTop="1" x14ac:dyDescent="0.25">
      <c r="A9" s="88" t="s">
        <v>24</v>
      </c>
      <c r="B9" s="304">
        <f>'9'!B8+'11'!B8</f>
        <v>1006.9746</v>
      </c>
      <c r="C9" s="305">
        <v>316430900</v>
      </c>
      <c r="D9" s="306">
        <f>C9/B9/12</f>
        <v>26186.60060210721</v>
      </c>
      <c r="E9" s="307">
        <f>'9'!E8+'11'!E8</f>
        <v>234290510</v>
      </c>
      <c r="F9" s="305">
        <f>'9'!F8+'11'!F8</f>
        <v>49658534</v>
      </c>
      <c r="G9" s="305">
        <f>'9'!G8+'11'!G8</f>
        <v>6475113</v>
      </c>
      <c r="H9" s="305">
        <f>'9'!H8+'11'!H8</f>
        <v>17233611</v>
      </c>
      <c r="I9" s="305">
        <f>'9'!I8+'11'!I8</f>
        <v>7482466</v>
      </c>
      <c r="J9" s="305">
        <f>'9'!J8+'11'!J8</f>
        <v>269871</v>
      </c>
      <c r="K9" s="305">
        <f>'9'!K8</f>
        <v>20762</v>
      </c>
      <c r="L9" s="305">
        <f>'9'!L8</f>
        <v>730856</v>
      </c>
      <c r="M9" s="305">
        <f>'9'!M8+'11'!K8</f>
        <v>107775</v>
      </c>
      <c r="N9" s="305">
        <f>'9'!N8+'11'!L8</f>
        <v>161402</v>
      </c>
      <c r="O9" s="308">
        <f>1606228+2536437</f>
        <v>4142665</v>
      </c>
      <c r="P9" s="68"/>
      <c r="Q9" s="68"/>
      <c r="R9" s="68"/>
    </row>
    <row r="10" spans="1:19" ht="21.75" customHeight="1" x14ac:dyDescent="0.25">
      <c r="A10" s="89" t="s">
        <v>80</v>
      </c>
      <c r="B10" s="304">
        <f>'9'!B9+'11'!B9</f>
        <v>2250.7075</v>
      </c>
      <c r="C10" s="305">
        <v>834913623</v>
      </c>
      <c r="D10" s="306">
        <f t="shared" ref="D10:D15" si="0">C10/B10/12</f>
        <v>30913.00635466848</v>
      </c>
      <c r="E10" s="307">
        <f>'9'!E9+'11'!E9</f>
        <v>587971487</v>
      </c>
      <c r="F10" s="305">
        <f>'9'!F9+'11'!F9</f>
        <v>143427227</v>
      </c>
      <c r="G10" s="305">
        <f>'9'!G9+'11'!G9</f>
        <v>17898990</v>
      </c>
      <c r="H10" s="305">
        <f>'9'!H9+'11'!H9</f>
        <v>44884571</v>
      </c>
      <c r="I10" s="305">
        <f>'9'!I9+'11'!I9</f>
        <v>14881463</v>
      </c>
      <c r="J10" s="305">
        <f>'9'!J9+'11'!J9</f>
        <v>7833532</v>
      </c>
      <c r="K10" s="305">
        <f>'9'!K9</f>
        <v>1033980</v>
      </c>
      <c r="L10" s="305">
        <f>'9'!L9</f>
        <v>16152403</v>
      </c>
      <c r="M10" s="305">
        <f>'9'!M9+'11'!K9</f>
        <v>257008</v>
      </c>
      <c r="N10" s="309">
        <f>'9'!N9+'11'!L9</f>
        <v>572962</v>
      </c>
      <c r="O10" s="308">
        <f>4503335+10850208</f>
        <v>15353543</v>
      </c>
      <c r="P10" s="68"/>
      <c r="Q10" s="68"/>
      <c r="R10" s="68"/>
    </row>
    <row r="11" spans="1:19" ht="21.75" customHeight="1" x14ac:dyDescent="0.25">
      <c r="A11" s="97" t="s">
        <v>92</v>
      </c>
      <c r="B11" s="304">
        <f>'9'!B10+'11'!B10</f>
        <v>166.80119999999999</v>
      </c>
      <c r="C11" s="305">
        <v>65361182</v>
      </c>
      <c r="D11" s="306">
        <f t="shared" si="0"/>
        <v>32654.232503523159</v>
      </c>
      <c r="E11" s="307">
        <f>'9'!E10+'11'!E10</f>
        <v>43386127</v>
      </c>
      <c r="F11" s="305">
        <f>'9'!F10+'11'!F10</f>
        <v>10737964</v>
      </c>
      <c r="G11" s="305">
        <f>'9'!G10+'11'!G10</f>
        <v>2062402</v>
      </c>
      <c r="H11" s="305">
        <f>'9'!H10+'11'!H10</f>
        <v>5836367</v>
      </c>
      <c r="I11" s="305">
        <f>'9'!I10+'11'!I10</f>
        <v>1240756</v>
      </c>
      <c r="J11" s="305">
        <f>'9'!J10+'11'!J10</f>
        <v>1777516</v>
      </c>
      <c r="K11" s="305">
        <f>'9'!K10</f>
        <v>39651</v>
      </c>
      <c r="L11" s="305">
        <f>'9'!L10</f>
        <v>265887</v>
      </c>
      <c r="M11" s="305">
        <f>'9'!M10+'11'!K10</f>
        <v>273</v>
      </c>
      <c r="N11" s="309">
        <f>'9'!N10+'11'!L10</f>
        <v>14239</v>
      </c>
      <c r="O11" s="308">
        <f>1116068+608353</f>
        <v>1724421</v>
      </c>
      <c r="P11" s="68"/>
      <c r="Q11" s="68"/>
      <c r="R11" s="68"/>
    </row>
    <row r="12" spans="1:19" ht="21.75" customHeight="1" x14ac:dyDescent="0.25">
      <c r="A12" s="89" t="s">
        <v>25</v>
      </c>
      <c r="B12" s="304">
        <f>'9'!B11+'11'!B11</f>
        <v>244.27990000000003</v>
      </c>
      <c r="C12" s="305">
        <v>81286770</v>
      </c>
      <c r="D12" s="306">
        <f t="shared" si="0"/>
        <v>27730.064978739549</v>
      </c>
      <c r="E12" s="307">
        <f>'9'!E11+'11'!E11</f>
        <v>60575660</v>
      </c>
      <c r="F12" s="305">
        <f>'9'!F11+'11'!F11</f>
        <v>14541034</v>
      </c>
      <c r="G12" s="305">
        <f>'9'!G11+'11'!G11</f>
        <v>772645</v>
      </c>
      <c r="H12" s="305">
        <f>'9'!H11+'11'!H11</f>
        <v>3737802</v>
      </c>
      <c r="I12" s="305">
        <f>'9'!I11+'11'!I11</f>
        <v>916415</v>
      </c>
      <c r="J12" s="305">
        <f>'9'!J11+'11'!J11</f>
        <v>68686</v>
      </c>
      <c r="K12" s="305">
        <f>'9'!K11</f>
        <v>12541</v>
      </c>
      <c r="L12" s="305">
        <f>'9'!L11</f>
        <v>301296</v>
      </c>
      <c r="M12" s="305">
        <f>'9'!M11+'11'!K11</f>
        <v>11498</v>
      </c>
      <c r="N12" s="309">
        <f>'9'!N11+'11'!L11</f>
        <v>349193</v>
      </c>
      <c r="O12" s="308">
        <f>368598+17132</f>
        <v>385730</v>
      </c>
      <c r="P12" s="68"/>
      <c r="Q12" s="68"/>
      <c r="R12" s="68"/>
    </row>
    <row r="13" spans="1:19" ht="21.75" customHeight="1" x14ac:dyDescent="0.25">
      <c r="A13" s="90" t="s">
        <v>26</v>
      </c>
      <c r="B13" s="304">
        <f>'9'!B12+'11'!B12</f>
        <v>490.50779999999997</v>
      </c>
      <c r="C13" s="305">
        <v>108365876</v>
      </c>
      <c r="D13" s="306">
        <f t="shared" si="0"/>
        <v>18410.491467549888</v>
      </c>
      <c r="E13" s="307">
        <f>'9'!E12+'11'!E12</f>
        <v>86671423</v>
      </c>
      <c r="F13" s="305">
        <f>'9'!F12+'11'!F12</f>
        <v>11006211</v>
      </c>
      <c r="G13" s="305">
        <f>'11'!G12</f>
        <v>1941923</v>
      </c>
      <c r="H13" s="305">
        <f>'11'!H12</f>
        <v>6637330</v>
      </c>
      <c r="I13" s="305">
        <f>'11'!I12</f>
        <v>2053686</v>
      </c>
      <c r="J13" s="305">
        <f>'11'!J12</f>
        <v>0</v>
      </c>
      <c r="K13" s="305">
        <v>0</v>
      </c>
      <c r="L13" s="305">
        <v>0</v>
      </c>
      <c r="M13" s="305">
        <f>'11'!K12</f>
        <v>37873</v>
      </c>
      <c r="N13" s="309">
        <f>'11'!L12</f>
        <v>17430</v>
      </c>
      <c r="O13" s="308">
        <v>868410</v>
      </c>
      <c r="P13" s="68"/>
      <c r="Q13" s="68"/>
      <c r="R13" s="68"/>
    </row>
    <row r="14" spans="1:19" ht="21.75" customHeight="1" thickBot="1" x14ac:dyDescent="0.3">
      <c r="A14" s="91" t="s">
        <v>51</v>
      </c>
      <c r="B14" s="310">
        <f>'9'!B13+'11'!B13</f>
        <v>420.839</v>
      </c>
      <c r="C14" s="311">
        <v>157088964</v>
      </c>
      <c r="D14" s="312">
        <f t="shared" si="0"/>
        <v>31106.306687355496</v>
      </c>
      <c r="E14" s="313">
        <f>'9'!E13+'11'!E13</f>
        <v>110163600</v>
      </c>
      <c r="F14" s="311">
        <f>'9'!F13+'11'!F13</f>
        <v>27177841</v>
      </c>
      <c r="G14" s="311">
        <f>'9'!G13+'11'!G13</f>
        <v>4334896</v>
      </c>
      <c r="H14" s="311">
        <f>'9'!H13+'11'!H13</f>
        <v>8492780</v>
      </c>
      <c r="I14" s="311">
        <f>'9'!I13+'11'!I13</f>
        <v>3894731</v>
      </c>
      <c r="J14" s="311">
        <f>'9'!J13+'11'!J13</f>
        <v>28651</v>
      </c>
      <c r="K14" s="311">
        <f>'9'!K13</f>
        <v>9401</v>
      </c>
      <c r="L14" s="311">
        <f>'9'!L13</f>
        <v>2540129</v>
      </c>
      <c r="M14" s="311">
        <f>'9'!M13+'11'!K13</f>
        <v>23859</v>
      </c>
      <c r="N14" s="314">
        <f>'9'!N13+'11'!L13</f>
        <v>423076</v>
      </c>
      <c r="O14" s="315">
        <f>1162858+757435+7315148</f>
        <v>9235441</v>
      </c>
      <c r="P14" s="68"/>
      <c r="Q14" s="68"/>
      <c r="R14" s="68"/>
      <c r="S14" s="68"/>
    </row>
    <row r="15" spans="1:19" ht="21.75" customHeight="1" thickTop="1" thickBot="1" x14ac:dyDescent="0.35">
      <c r="A15" s="92" t="s">
        <v>52</v>
      </c>
      <c r="B15" s="316">
        <f>SUM(B9:B14)</f>
        <v>4580.1099999999997</v>
      </c>
      <c r="C15" s="317">
        <f>SUM(C9:C14)</f>
        <v>1563447315</v>
      </c>
      <c r="D15" s="318">
        <f t="shared" si="0"/>
        <v>28446.320339467831</v>
      </c>
      <c r="E15" s="319">
        <f>SUM(E9:E14)</f>
        <v>1123058807</v>
      </c>
      <c r="F15" s="320">
        <f t="shared" ref="F15:O15" si="1">SUM(F9:F14)</f>
        <v>256548811</v>
      </c>
      <c r="G15" s="320">
        <f t="shared" si="1"/>
        <v>33485969</v>
      </c>
      <c r="H15" s="320">
        <f t="shared" si="1"/>
        <v>86822461</v>
      </c>
      <c r="I15" s="320">
        <f t="shared" si="1"/>
        <v>30469517</v>
      </c>
      <c r="J15" s="320">
        <f t="shared" si="1"/>
        <v>9978256</v>
      </c>
      <c r="K15" s="320">
        <f t="shared" si="1"/>
        <v>1116335</v>
      </c>
      <c r="L15" s="320">
        <f t="shared" si="1"/>
        <v>19990571</v>
      </c>
      <c r="M15" s="320">
        <f t="shared" si="1"/>
        <v>438286</v>
      </c>
      <c r="N15" s="29">
        <f t="shared" si="1"/>
        <v>1538302</v>
      </c>
      <c r="O15" s="321">
        <f t="shared" si="1"/>
        <v>31710210</v>
      </c>
      <c r="Q15" s="68"/>
      <c r="R15" s="68"/>
    </row>
    <row r="16" spans="1:19" ht="21.75" customHeight="1" x14ac:dyDescent="0.3">
      <c r="C16" s="68"/>
      <c r="F16" s="68"/>
      <c r="G16" s="68"/>
      <c r="H16" s="68"/>
      <c r="I16" s="68"/>
      <c r="J16" s="84"/>
      <c r="L16" s="1"/>
      <c r="M16" s="68"/>
      <c r="O16" s="68"/>
    </row>
    <row r="17" spans="2:12" ht="14.45" x14ac:dyDescent="0.3">
      <c r="L17" s="1"/>
    </row>
    <row r="18" spans="2:12" ht="14.45" x14ac:dyDescent="0.3">
      <c r="B18" s="84"/>
      <c r="J18" s="84"/>
      <c r="L18" s="1"/>
    </row>
    <row r="19" spans="2:12" ht="14.45" x14ac:dyDescent="0.3">
      <c r="B19" s="84"/>
      <c r="J19" s="84"/>
      <c r="L19" s="1"/>
    </row>
    <row r="20" spans="2:12" ht="14.45" x14ac:dyDescent="0.3">
      <c r="B20" s="84"/>
      <c r="J20" s="84"/>
      <c r="L20" s="1"/>
    </row>
    <row r="21" spans="2:12" ht="14.45" x14ac:dyDescent="0.3">
      <c r="B21" s="84"/>
      <c r="C21" s="68"/>
      <c r="D21" s="84"/>
      <c r="E21" s="84"/>
    </row>
    <row r="22" spans="2:12" ht="14.45" x14ac:dyDescent="0.3">
      <c r="B22" s="209"/>
      <c r="C22" s="210"/>
      <c r="D22" s="209"/>
      <c r="E22" s="209"/>
    </row>
    <row r="23" spans="2:12" ht="14.45" x14ac:dyDescent="0.3">
      <c r="B23" s="209"/>
      <c r="C23" s="210"/>
      <c r="D23" s="209"/>
      <c r="E23" s="209"/>
    </row>
  </sheetData>
  <mergeCells count="7">
    <mergeCell ref="A6:O6"/>
    <mergeCell ref="A7:A8"/>
    <mergeCell ref="B7:B8"/>
    <mergeCell ref="C7:C8"/>
    <mergeCell ref="D7:D8"/>
    <mergeCell ref="E7:N7"/>
    <mergeCell ref="O7:O8"/>
  </mergeCells>
  <pageMargins left="0.19685039370078741" right="0.19685039370078741" top="0.78740157480314965" bottom="0.78740157480314965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workbookViewId="0">
      <selection activeCell="F20" sqref="F20"/>
    </sheetView>
  </sheetViews>
  <sheetFormatPr defaultRowHeight="15" x14ac:dyDescent="0.25"/>
  <cols>
    <col min="1" max="1" width="10" customWidth="1"/>
    <col min="2" max="2" width="10.140625" customWidth="1"/>
    <col min="3" max="4" width="9.5703125" customWidth="1"/>
    <col min="5" max="5" width="10.28515625" customWidth="1"/>
    <col min="6" max="6" width="9.85546875" customWidth="1"/>
    <col min="7" max="7" width="9.5703125" customWidth="1"/>
    <col min="8" max="8" width="9" customWidth="1"/>
    <col min="9" max="9" width="8.42578125" customWidth="1"/>
    <col min="10" max="10" width="9" customWidth="1"/>
    <col min="11" max="11" width="10.140625" customWidth="1"/>
    <col min="12" max="12" width="9.42578125" customWidth="1"/>
    <col min="13" max="13" width="7.85546875" customWidth="1"/>
    <col min="14" max="14" width="8" customWidth="1"/>
    <col min="15" max="15" width="12.28515625" customWidth="1"/>
    <col min="16" max="17" width="10.85546875" bestFit="1" customWidth="1"/>
    <col min="18" max="18" width="9.85546875" bestFit="1" customWidth="1"/>
  </cols>
  <sheetData>
    <row r="1" spans="1:18" ht="14.45" x14ac:dyDescent="0.3">
      <c r="A1" s="1"/>
      <c r="B1" s="1"/>
      <c r="C1" s="1"/>
      <c r="D1" s="1"/>
      <c r="E1" s="1"/>
      <c r="F1" s="1"/>
      <c r="G1" s="1"/>
      <c r="H1" s="68"/>
      <c r="I1" s="68"/>
      <c r="J1" s="68"/>
      <c r="K1" s="68"/>
      <c r="L1" s="1"/>
      <c r="M1" s="1"/>
      <c r="N1" s="1"/>
      <c r="O1" s="1"/>
    </row>
    <row r="2" spans="1:18" ht="14.45" x14ac:dyDescent="0.3">
      <c r="A2" s="1" t="s">
        <v>1</v>
      </c>
      <c r="B2" s="1"/>
      <c r="C2" s="1"/>
      <c r="D2" s="1"/>
      <c r="E2" s="1"/>
      <c r="F2" s="1"/>
      <c r="G2" s="1"/>
      <c r="H2" s="68"/>
      <c r="I2" s="68"/>
      <c r="J2" s="68"/>
      <c r="K2" s="68"/>
      <c r="L2" s="1"/>
      <c r="M2" s="1"/>
      <c r="N2" s="1"/>
      <c r="O2" s="1"/>
    </row>
    <row r="3" spans="1:18" x14ac:dyDescent="0.25">
      <c r="A3" s="3" t="s">
        <v>107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"/>
      <c r="N3" s="6"/>
      <c r="O3" s="6"/>
    </row>
    <row r="4" spans="1:18" thickBot="1" x14ac:dyDescent="0.35">
      <c r="A4" s="1"/>
      <c r="B4" s="1"/>
      <c r="C4" s="1"/>
      <c r="D4" s="1"/>
      <c r="E4" s="93"/>
      <c r="F4" s="93"/>
      <c r="G4" s="93"/>
      <c r="H4" s="93"/>
      <c r="I4" s="93"/>
      <c r="J4" s="93"/>
      <c r="K4" s="93"/>
      <c r="L4" s="93"/>
      <c r="M4" s="93"/>
      <c r="N4" s="93"/>
      <c r="O4" s="1"/>
    </row>
    <row r="5" spans="1:18" ht="15.75" thickBot="1" x14ac:dyDescent="0.3">
      <c r="A5" s="439" t="s">
        <v>108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  <c r="O5" s="441"/>
    </row>
    <row r="6" spans="1:18" ht="15" customHeight="1" x14ac:dyDescent="0.25">
      <c r="A6" s="453" t="s">
        <v>36</v>
      </c>
      <c r="B6" s="455" t="s">
        <v>37</v>
      </c>
      <c r="C6" s="446" t="s">
        <v>53</v>
      </c>
      <c r="D6" s="448" t="s">
        <v>39</v>
      </c>
      <c r="E6" s="457" t="s">
        <v>40</v>
      </c>
      <c r="F6" s="458"/>
      <c r="G6" s="458"/>
      <c r="H6" s="458"/>
      <c r="I6" s="458"/>
      <c r="J6" s="458"/>
      <c r="K6" s="458"/>
      <c r="L6" s="458"/>
      <c r="M6" s="458"/>
      <c r="N6" s="459"/>
      <c r="O6" s="442" t="s">
        <v>54</v>
      </c>
    </row>
    <row r="7" spans="1:18" ht="63.75" customHeight="1" thickBot="1" x14ac:dyDescent="0.3">
      <c r="A7" s="454"/>
      <c r="B7" s="456"/>
      <c r="C7" s="447"/>
      <c r="D7" s="449"/>
      <c r="E7" s="167" t="s">
        <v>42</v>
      </c>
      <c r="F7" s="168" t="s">
        <v>43</v>
      </c>
      <c r="G7" s="168" t="s">
        <v>44</v>
      </c>
      <c r="H7" s="168" t="s">
        <v>45</v>
      </c>
      <c r="I7" s="168" t="s">
        <v>46</v>
      </c>
      <c r="J7" s="168" t="s">
        <v>47</v>
      </c>
      <c r="K7" s="174" t="s">
        <v>76</v>
      </c>
      <c r="L7" s="168" t="s">
        <v>48</v>
      </c>
      <c r="M7" s="168" t="s">
        <v>49</v>
      </c>
      <c r="N7" s="87" t="s">
        <v>50</v>
      </c>
      <c r="O7" s="443"/>
    </row>
    <row r="8" spans="1:18" ht="27.75" customHeight="1" thickTop="1" x14ac:dyDescent="0.25">
      <c r="A8" s="88" t="s">
        <v>79</v>
      </c>
      <c r="B8" s="322">
        <f>'10'!B8+'12'!B8</f>
        <v>1148.414</v>
      </c>
      <c r="C8" s="323">
        <v>456266709</v>
      </c>
      <c r="D8" s="324">
        <f>C8/B8/12</f>
        <v>33108.465892961947</v>
      </c>
      <c r="E8" s="325">
        <f>'10'!E8+'12'!E8</f>
        <v>312103571</v>
      </c>
      <c r="F8" s="323">
        <f>'10'!F8+'12'!F8</f>
        <v>80415225</v>
      </c>
      <c r="G8" s="323">
        <f>'10'!G8+'12'!G8</f>
        <v>16497590</v>
      </c>
      <c r="H8" s="323">
        <f>'10'!H8+'12'!H8</f>
        <v>23343620</v>
      </c>
      <c r="I8" s="323">
        <f>'10'!I8+'12'!I8</f>
        <v>7929521</v>
      </c>
      <c r="J8" s="323">
        <f>'10'!J8+'12'!J8</f>
        <v>3975612</v>
      </c>
      <c r="K8" s="323">
        <f>'10'!K8</f>
        <v>630872</v>
      </c>
      <c r="L8" s="323">
        <f>'10'!L8</f>
        <v>10351568</v>
      </c>
      <c r="M8" s="323">
        <f>'12'!K8+'10'!M8</f>
        <v>751018</v>
      </c>
      <c r="N8" s="326">
        <f>'10'!N8+'12'!L8</f>
        <v>268112</v>
      </c>
      <c r="O8" s="327">
        <f>4747868+7390097</f>
        <v>12137965</v>
      </c>
      <c r="P8" s="105"/>
      <c r="Q8" s="105"/>
      <c r="R8" s="105"/>
    </row>
    <row r="9" spans="1:18" ht="27.75" customHeight="1" x14ac:dyDescent="0.25">
      <c r="A9" s="89" t="s">
        <v>10</v>
      </c>
      <c r="B9" s="322">
        <f>'10'!B9+'12'!B9</f>
        <v>27.411200000000001</v>
      </c>
      <c r="C9" s="323">
        <v>11572796</v>
      </c>
      <c r="D9" s="324">
        <f t="shared" ref="D9:D15" si="0">C9/B9/12</f>
        <v>35182.686882247646</v>
      </c>
      <c r="E9" s="325">
        <f>'10'!E9+'12'!E9</f>
        <v>7907678</v>
      </c>
      <c r="F9" s="323">
        <f>'10'!F9+'12'!F9</f>
        <v>2139826</v>
      </c>
      <c r="G9" s="323">
        <f>'10'!G9+'12'!G9</f>
        <v>393158</v>
      </c>
      <c r="H9" s="323">
        <f>'10'!H9+'12'!H9</f>
        <v>540070</v>
      </c>
      <c r="I9" s="323">
        <f>'10'!I9+'12'!I9</f>
        <v>337456</v>
      </c>
      <c r="J9" s="323">
        <f>'10'!J9+'12'!J9</f>
        <v>80872</v>
      </c>
      <c r="K9" s="323">
        <f>'10'!K9</f>
        <v>0</v>
      </c>
      <c r="L9" s="323">
        <f>'10'!L9</f>
        <v>150036</v>
      </c>
      <c r="M9" s="323">
        <f>'10'!M9+'12'!K9</f>
        <v>7914</v>
      </c>
      <c r="N9" s="326">
        <f>'10'!N9+'12'!L9</f>
        <v>15786</v>
      </c>
      <c r="O9" s="328">
        <f>840900+28700</f>
        <v>869600</v>
      </c>
      <c r="P9" s="105"/>
      <c r="Q9" s="105"/>
      <c r="R9" s="105"/>
    </row>
    <row r="10" spans="1:18" ht="27.75" customHeight="1" x14ac:dyDescent="0.25">
      <c r="A10" s="89" t="s">
        <v>84</v>
      </c>
      <c r="B10" s="322">
        <f>'10'!B10+'12'!B10</f>
        <v>97.94680000000001</v>
      </c>
      <c r="C10" s="323">
        <v>36870945</v>
      </c>
      <c r="D10" s="324">
        <f>C10/B10/12</f>
        <v>31369.87374778961</v>
      </c>
      <c r="E10" s="325">
        <f>'10'!E10+'12'!E10</f>
        <v>25071816</v>
      </c>
      <c r="F10" s="323">
        <f>'10'!F10+'12'!F10</f>
        <v>6431649</v>
      </c>
      <c r="G10" s="323">
        <f>'10'!G10+'12'!G10</f>
        <v>1909521</v>
      </c>
      <c r="H10" s="323">
        <f>'10'!H10+'12'!H10</f>
        <v>1673774</v>
      </c>
      <c r="I10" s="323">
        <f>'10'!I10+'12'!I10</f>
        <v>719036</v>
      </c>
      <c r="J10" s="323">
        <f>'10'!J10+'12'!J10</f>
        <v>974176</v>
      </c>
      <c r="K10" s="323">
        <f>'10'!K10</f>
        <v>58124</v>
      </c>
      <c r="L10" s="323">
        <f>'10'!L10</f>
        <v>10604</v>
      </c>
      <c r="M10" s="323">
        <f>'10'!M10+'12'!K10</f>
        <v>11292</v>
      </c>
      <c r="N10" s="326">
        <f>'10'!N10+'12'!L10</f>
        <v>10953</v>
      </c>
      <c r="O10" s="328">
        <f>448679+68800+396688</f>
        <v>914167</v>
      </c>
      <c r="P10" s="105"/>
      <c r="Q10" s="105"/>
      <c r="R10" s="105"/>
    </row>
    <row r="11" spans="1:18" ht="27.75" customHeight="1" x14ac:dyDescent="0.25">
      <c r="A11" s="89" t="s">
        <v>31</v>
      </c>
      <c r="B11" s="322">
        <f>'10'!B11+'12'!B11</f>
        <v>13.033799999999999</v>
      </c>
      <c r="C11" s="323">
        <v>4044283</v>
      </c>
      <c r="D11" s="324">
        <f t="shared" si="0"/>
        <v>25857.66110676344</v>
      </c>
      <c r="E11" s="325">
        <f>'10'!E11+'12'!E11</f>
        <v>2929140</v>
      </c>
      <c r="F11" s="323">
        <f>'10'!F11+'12'!F11</f>
        <v>721049</v>
      </c>
      <c r="G11" s="323">
        <f>'10'!G11+'12'!G11</f>
        <v>125688</v>
      </c>
      <c r="H11" s="323">
        <f>'10'!H11+'12'!H11</f>
        <v>120700</v>
      </c>
      <c r="I11" s="323">
        <f>'10'!I11+'12'!I11</f>
        <v>40018</v>
      </c>
      <c r="J11" s="323">
        <f>'10'!J11+'12'!J11</f>
        <v>87782</v>
      </c>
      <c r="K11" s="323">
        <f>'10'!K11</f>
        <v>0</v>
      </c>
      <c r="L11" s="323">
        <f>'10'!L11</f>
        <v>0</v>
      </c>
      <c r="M11" s="323">
        <f>'10'!M11+'12'!K11</f>
        <v>0</v>
      </c>
      <c r="N11" s="326">
        <f>'10'!N11+'12'!L11</f>
        <v>19906</v>
      </c>
      <c r="O11" s="328">
        <v>27733</v>
      </c>
      <c r="P11" s="105"/>
      <c r="Q11" s="105"/>
      <c r="R11" s="105"/>
    </row>
    <row r="12" spans="1:18" ht="27.75" customHeight="1" x14ac:dyDescent="0.25">
      <c r="A12" s="90" t="s">
        <v>26</v>
      </c>
      <c r="B12" s="322">
        <f>'10'!B12+'12'!B12</f>
        <v>52.33</v>
      </c>
      <c r="C12" s="323">
        <v>12849076</v>
      </c>
      <c r="D12" s="324">
        <f>C12/B12/12</f>
        <v>20461.615389515257</v>
      </c>
      <c r="E12" s="325">
        <f>'12'!E12</f>
        <v>9715400</v>
      </c>
      <c r="F12" s="323">
        <f>'12'!F12</f>
        <v>1380172</v>
      </c>
      <c r="G12" s="323">
        <f>'12'!G12</f>
        <v>532623</v>
      </c>
      <c r="H12" s="323">
        <f>'12'!H12</f>
        <v>908371</v>
      </c>
      <c r="I12" s="323">
        <f>'12'!I12</f>
        <v>210287</v>
      </c>
      <c r="J12" s="323">
        <f>'12'!J12</f>
        <v>65701</v>
      </c>
      <c r="K12" s="323">
        <v>0</v>
      </c>
      <c r="L12" s="323">
        <v>0</v>
      </c>
      <c r="M12" s="323">
        <f>'12'!K12</f>
        <v>17107</v>
      </c>
      <c r="N12" s="326">
        <f>'12'!L12</f>
        <v>19415</v>
      </c>
      <c r="O12" s="328">
        <v>219172</v>
      </c>
      <c r="P12" s="278"/>
      <c r="Q12" s="105"/>
      <c r="R12" s="105"/>
    </row>
    <row r="13" spans="1:18" ht="27.75" customHeight="1" x14ac:dyDescent="0.3">
      <c r="A13" s="94" t="s">
        <v>11</v>
      </c>
      <c r="B13" s="322">
        <f>'10'!B13+'12'!B15</f>
        <v>148.7157</v>
      </c>
      <c r="C13" s="323">
        <v>52257123</v>
      </c>
      <c r="D13" s="324">
        <f t="shared" si="0"/>
        <v>29282.451348445389</v>
      </c>
      <c r="E13" s="325">
        <f>'10'!E13+'12'!E15</f>
        <v>32495679</v>
      </c>
      <c r="F13" s="323">
        <f>'10'!F13+'12'!F15</f>
        <v>7984300</v>
      </c>
      <c r="G13" s="323">
        <f>'10'!G13+'12'!G15</f>
        <v>1963770</v>
      </c>
      <c r="H13" s="323">
        <f>'10'!H13+'12'!H15</f>
        <v>1956277</v>
      </c>
      <c r="I13" s="323">
        <f>'10'!I13+'10'!I13</f>
        <v>2010740</v>
      </c>
      <c r="J13" s="323">
        <f>'10'!J13+'12'!J15</f>
        <v>584549</v>
      </c>
      <c r="K13" s="323">
        <f>'10'!K13</f>
        <v>0</v>
      </c>
      <c r="L13" s="323">
        <f>'10'!L13</f>
        <v>0</v>
      </c>
      <c r="M13" s="323">
        <f>'10'!M13+'12'!K15</f>
        <v>357207</v>
      </c>
      <c r="N13" s="326">
        <f>'10'!N13+'12'!L15</f>
        <v>4904601</v>
      </c>
      <c r="O13" s="328">
        <f>733777+451807</f>
        <v>1185584</v>
      </c>
      <c r="P13" s="105"/>
      <c r="Q13" s="105"/>
      <c r="R13" s="105"/>
    </row>
    <row r="14" spans="1:18" ht="27.75" customHeight="1" x14ac:dyDescent="0.25">
      <c r="A14" s="94" t="s">
        <v>8</v>
      </c>
      <c r="B14" s="343">
        <f>'10'!B14+'12'!B13</f>
        <v>11.729699999999999</v>
      </c>
      <c r="C14" s="344">
        <v>3546181</v>
      </c>
      <c r="D14" s="345">
        <f t="shared" si="0"/>
        <v>25193.746074778839</v>
      </c>
      <c r="E14" s="346">
        <f>'10'!E14+'12'!E13</f>
        <v>2536574</v>
      </c>
      <c r="F14" s="344">
        <f>'10'!F14+'12'!F13</f>
        <v>696511</v>
      </c>
      <c r="G14" s="344">
        <f>'10'!G14+'12'!G13</f>
        <v>143753</v>
      </c>
      <c r="H14" s="344">
        <f>'10'!H14+'12'!H13</f>
        <v>84000</v>
      </c>
      <c r="I14" s="344">
        <f>'10'!I14+'12'!I13</f>
        <v>0</v>
      </c>
      <c r="J14" s="344">
        <f>'10'!J14+'12'!J13</f>
        <v>73456</v>
      </c>
      <c r="K14" s="344">
        <f>'10'!K14</f>
        <v>11820</v>
      </c>
      <c r="L14" s="344">
        <f>'10'!L14</f>
        <v>0</v>
      </c>
      <c r="M14" s="344">
        <f>'10'!M14+'12'!K13</f>
        <v>0</v>
      </c>
      <c r="N14" s="347">
        <f>'10'!N14+'12'!L13</f>
        <v>67</v>
      </c>
      <c r="O14" s="328">
        <v>7950</v>
      </c>
      <c r="P14" s="105"/>
      <c r="Q14" s="105"/>
      <c r="R14" s="105"/>
    </row>
    <row r="15" spans="1:18" ht="27.75" customHeight="1" x14ac:dyDescent="0.25">
      <c r="A15" s="94" t="s">
        <v>85</v>
      </c>
      <c r="B15" s="329">
        <f>'10'!B15+'12'!B14</f>
        <v>14.375999999999999</v>
      </c>
      <c r="C15" s="330">
        <v>6344353</v>
      </c>
      <c r="D15" s="331">
        <f t="shared" si="0"/>
        <v>36776.299619736601</v>
      </c>
      <c r="E15" s="332">
        <f>'10'!E15+'12'!E14</f>
        <v>4226842</v>
      </c>
      <c r="F15" s="330">
        <f>'10'!F15+'12'!F14</f>
        <v>1039457</v>
      </c>
      <c r="G15" s="330">
        <f>'10'!G15+'12'!G14</f>
        <v>346638</v>
      </c>
      <c r="H15" s="330">
        <f>'10'!H15+'12'!H14</f>
        <v>475684</v>
      </c>
      <c r="I15" s="330">
        <f>'10'!I15+'12'!I14</f>
        <v>145023</v>
      </c>
      <c r="J15" s="330">
        <f>'10'!J15+'12'!J14</f>
        <v>110709</v>
      </c>
      <c r="K15" s="330">
        <f>'10'!K15</f>
        <v>0</v>
      </c>
      <c r="L15" s="330">
        <f>'10'!L15</f>
        <v>0</v>
      </c>
      <c r="M15" s="330">
        <f>'10'!M15+'12'!K14</f>
        <v>0</v>
      </c>
      <c r="N15" s="333">
        <f>'10'!N15+'12'!L14</f>
        <v>0</v>
      </c>
      <c r="O15" s="342">
        <v>169860</v>
      </c>
      <c r="P15" s="105"/>
      <c r="Q15" s="105"/>
      <c r="R15" s="105"/>
    </row>
    <row r="16" spans="1:18" ht="27.75" customHeight="1" thickBot="1" x14ac:dyDescent="0.3">
      <c r="A16" s="91" t="s">
        <v>55</v>
      </c>
      <c r="B16" s="334">
        <f>'10'!B16+'12'!B16</f>
        <v>159.7004</v>
      </c>
      <c r="C16" s="335">
        <v>54786035</v>
      </c>
      <c r="D16" s="336">
        <f>C16/B16/12</f>
        <v>28587.924117075891</v>
      </c>
      <c r="E16" s="337">
        <f>'10'!E16+'12'!E16</f>
        <v>40080411</v>
      </c>
      <c r="F16" s="335">
        <f>'10'!F16+'12'!F16</f>
        <v>7598076</v>
      </c>
      <c r="G16" s="335">
        <f>'10'!G16+'12'!G16</f>
        <v>2092461</v>
      </c>
      <c r="H16" s="335">
        <f>'10'!H16+'12'!H16</f>
        <v>2533448</v>
      </c>
      <c r="I16" s="335">
        <f>'10'!I16+'12'!I16</f>
        <v>1262997</v>
      </c>
      <c r="J16" s="335">
        <f>'10'!J16+'12'!J16</f>
        <v>69298</v>
      </c>
      <c r="K16" s="335">
        <f>'10'!K16</f>
        <v>0</v>
      </c>
      <c r="L16" s="335">
        <f>'10'!L16</f>
        <v>86701</v>
      </c>
      <c r="M16" s="335">
        <f>'10'!M16+'12'!K16</f>
        <v>63647</v>
      </c>
      <c r="N16" s="338">
        <f>'10'!N16+'12'!L16</f>
        <v>998996</v>
      </c>
      <c r="O16" s="339">
        <v>1026197</v>
      </c>
      <c r="P16" s="105"/>
      <c r="Q16" s="105"/>
      <c r="R16" s="105"/>
    </row>
    <row r="17" spans="1:18" ht="27.75" customHeight="1" thickTop="1" thickBot="1" x14ac:dyDescent="0.35">
      <c r="A17" s="92" t="s">
        <v>52</v>
      </c>
      <c r="B17" s="340">
        <f>SUM(B8:B16)</f>
        <v>1673.6575999999998</v>
      </c>
      <c r="C17" s="26">
        <f>SUM(C8:C16)</f>
        <v>638537501</v>
      </c>
      <c r="D17" s="341">
        <f>C17/B17/12</f>
        <v>31793.515242703568</v>
      </c>
      <c r="E17" s="25">
        <f>SUM(E8:E16)</f>
        <v>437067111</v>
      </c>
      <c r="F17" s="26">
        <f>SUM(F8:F16)</f>
        <v>108406265</v>
      </c>
      <c r="G17" s="26">
        <f t="shared" ref="G17:O17" si="1">SUM(G8:G16)</f>
        <v>24005202</v>
      </c>
      <c r="H17" s="26">
        <f t="shared" si="1"/>
        <v>31635944</v>
      </c>
      <c r="I17" s="26">
        <f t="shared" si="1"/>
        <v>12655078</v>
      </c>
      <c r="J17" s="26">
        <f t="shared" si="1"/>
        <v>6022155</v>
      </c>
      <c r="K17" s="26">
        <f t="shared" si="1"/>
        <v>700816</v>
      </c>
      <c r="L17" s="26">
        <f t="shared" si="1"/>
        <v>10598909</v>
      </c>
      <c r="M17" s="26">
        <f t="shared" si="1"/>
        <v>1208185</v>
      </c>
      <c r="N17" s="341">
        <f t="shared" si="1"/>
        <v>6237836</v>
      </c>
      <c r="O17" s="321">
        <f t="shared" si="1"/>
        <v>16558228</v>
      </c>
      <c r="Q17" s="105"/>
      <c r="R17" s="105"/>
    </row>
    <row r="18" spans="1:18" ht="14.45" x14ac:dyDescent="0.3">
      <c r="A18" s="160"/>
      <c r="B18" s="160"/>
      <c r="C18" s="161"/>
      <c r="D18" s="162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</row>
    <row r="19" spans="1:18" ht="14.45" x14ac:dyDescent="0.3">
      <c r="A19" s="160"/>
      <c r="B19" s="163"/>
      <c r="C19" s="16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ht="14.45" x14ac:dyDescent="0.3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"/>
    </row>
    <row r="21" spans="1:18" ht="14.4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8" ht="14.4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8" ht="14.45" x14ac:dyDescent="0.3">
      <c r="A23" s="1"/>
      <c r="B23" s="1"/>
      <c r="C23" s="1"/>
      <c r="D23" s="6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8" ht="14.4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</sheetData>
  <mergeCells count="7">
    <mergeCell ref="A5:O5"/>
    <mergeCell ref="A6:A7"/>
    <mergeCell ref="B6:B7"/>
    <mergeCell ref="C6:C7"/>
    <mergeCell ref="D6:D7"/>
    <mergeCell ref="E6:N6"/>
    <mergeCell ref="O6:O7"/>
  </mergeCells>
  <pageMargins left="0.19685039370078741" right="0.19685039370078741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workbookViewId="0">
      <selection activeCell="A5" sqref="A5:N14"/>
    </sheetView>
  </sheetViews>
  <sheetFormatPr defaultRowHeight="15" x14ac:dyDescent="0.25"/>
  <cols>
    <col min="1" max="1" width="8.7109375" customWidth="1"/>
    <col min="2" max="2" width="10.140625" customWidth="1"/>
    <col min="3" max="3" width="11.42578125" customWidth="1"/>
    <col min="4" max="4" width="11.140625" customWidth="1"/>
    <col min="5" max="5" width="9.85546875" customWidth="1"/>
    <col min="6" max="6" width="9.7109375" customWidth="1"/>
    <col min="7" max="7" width="10.28515625" bestFit="1" customWidth="1"/>
    <col min="8" max="10" width="9.5703125" bestFit="1" customWidth="1"/>
    <col min="11" max="11" width="10.85546875" customWidth="1"/>
    <col min="12" max="12" width="10.42578125" customWidth="1"/>
    <col min="13" max="13" width="9.5703125" bestFit="1" customWidth="1"/>
    <col min="14" max="14" width="9.5703125" customWidth="1"/>
    <col min="15" max="15" width="10.85546875" bestFit="1" customWidth="1"/>
    <col min="16" max="16" width="13.28515625" customWidth="1"/>
  </cols>
  <sheetData>
    <row r="1" spans="1:17" ht="14.45" x14ac:dyDescent="0.3">
      <c r="A1" s="1"/>
      <c r="B1" s="1"/>
      <c r="C1" s="1"/>
      <c r="D1" s="1"/>
      <c r="E1" s="1"/>
      <c r="F1" s="1"/>
      <c r="G1" s="1"/>
      <c r="H1" s="68"/>
      <c r="I1" s="68"/>
      <c r="J1" s="68"/>
      <c r="K1" s="68"/>
      <c r="L1" s="1"/>
      <c r="M1" s="1"/>
      <c r="N1" s="1"/>
    </row>
    <row r="2" spans="1:17" ht="14.45" x14ac:dyDescent="0.3">
      <c r="A2" s="1"/>
      <c r="B2" s="1"/>
      <c r="C2" s="1"/>
      <c r="D2" s="1"/>
      <c r="E2" s="1"/>
      <c r="F2" s="1"/>
      <c r="G2" s="1"/>
      <c r="H2" s="68"/>
      <c r="I2" s="68"/>
      <c r="J2" s="68"/>
      <c r="K2" s="68"/>
      <c r="L2" s="1"/>
      <c r="M2" s="1"/>
      <c r="N2" s="1"/>
    </row>
    <row r="3" spans="1:17" ht="15" customHeight="1" x14ac:dyDescent="0.25">
      <c r="A3" s="460" t="s">
        <v>106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</row>
    <row r="4" spans="1:17" thickBot="1" x14ac:dyDescent="0.35">
      <c r="A4" s="1"/>
      <c r="B4" s="1"/>
      <c r="C4" s="1"/>
      <c r="D4" s="1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7" ht="15.75" thickBot="1" x14ac:dyDescent="0.3">
      <c r="A5" s="439" t="s">
        <v>105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1"/>
    </row>
    <row r="6" spans="1:17" ht="15" customHeight="1" x14ac:dyDescent="0.25">
      <c r="A6" s="461" t="s">
        <v>36</v>
      </c>
      <c r="B6" s="455" t="s">
        <v>37</v>
      </c>
      <c r="C6" s="463" t="s">
        <v>56</v>
      </c>
      <c r="D6" s="448" t="s">
        <v>39</v>
      </c>
      <c r="E6" s="457" t="s">
        <v>40</v>
      </c>
      <c r="F6" s="458"/>
      <c r="G6" s="458"/>
      <c r="H6" s="458"/>
      <c r="I6" s="458"/>
      <c r="J6" s="458"/>
      <c r="K6" s="458"/>
      <c r="L6" s="458"/>
      <c r="M6" s="458"/>
      <c r="N6" s="459"/>
    </row>
    <row r="7" spans="1:17" ht="63" customHeight="1" thickBot="1" x14ac:dyDescent="0.3">
      <c r="A7" s="462"/>
      <c r="B7" s="456"/>
      <c r="C7" s="464"/>
      <c r="D7" s="449"/>
      <c r="E7" s="290" t="s">
        <v>42</v>
      </c>
      <c r="F7" s="291" t="s">
        <v>43</v>
      </c>
      <c r="G7" s="291" t="s">
        <v>44</v>
      </c>
      <c r="H7" s="291" t="s">
        <v>45</v>
      </c>
      <c r="I7" s="291" t="s">
        <v>46</v>
      </c>
      <c r="J7" s="291" t="s">
        <v>47</v>
      </c>
      <c r="K7" s="291" t="s">
        <v>77</v>
      </c>
      <c r="L7" s="86" t="s">
        <v>48</v>
      </c>
      <c r="M7" s="291" t="s">
        <v>49</v>
      </c>
      <c r="N7" s="87" t="s">
        <v>50</v>
      </c>
    </row>
    <row r="8" spans="1:17" ht="24" customHeight="1" thickTop="1" x14ac:dyDescent="0.25">
      <c r="A8" s="96" t="s">
        <v>24</v>
      </c>
      <c r="B8" s="348">
        <v>781.28189999999995</v>
      </c>
      <c r="C8" s="349">
        <v>272383956</v>
      </c>
      <c r="D8" s="350">
        <f t="shared" ref="D8:D14" si="0">C8/B8/12</f>
        <v>29053.102343725102</v>
      </c>
      <c r="E8" s="351">
        <v>198621166</v>
      </c>
      <c r="F8" s="352">
        <v>45320834</v>
      </c>
      <c r="G8" s="352">
        <v>5847634</v>
      </c>
      <c r="H8" s="352">
        <v>14091639</v>
      </c>
      <c r="I8" s="352">
        <v>7352241</v>
      </c>
      <c r="J8" s="352">
        <v>269871</v>
      </c>
      <c r="K8" s="352">
        <v>20762</v>
      </c>
      <c r="L8" s="352">
        <v>730856</v>
      </c>
      <c r="M8" s="353">
        <v>93415</v>
      </c>
      <c r="N8" s="354">
        <v>35538</v>
      </c>
      <c r="O8" s="105"/>
      <c r="P8" s="105"/>
      <c r="Q8" s="105"/>
    </row>
    <row r="9" spans="1:17" ht="24" customHeight="1" x14ac:dyDescent="0.25">
      <c r="A9" s="97" t="s">
        <v>80</v>
      </c>
      <c r="B9" s="355">
        <v>1827.4177</v>
      </c>
      <c r="C9" s="349">
        <v>741335267</v>
      </c>
      <c r="D9" s="350">
        <f t="shared" si="0"/>
        <v>33806.140170726525</v>
      </c>
      <c r="E9" s="356">
        <v>514079226</v>
      </c>
      <c r="F9" s="357">
        <v>134086869</v>
      </c>
      <c r="G9" s="357">
        <v>15683075</v>
      </c>
      <c r="H9" s="357">
        <v>38728910</v>
      </c>
      <c r="I9" s="357">
        <v>13563747</v>
      </c>
      <c r="J9" s="357">
        <v>7833245</v>
      </c>
      <c r="K9" s="357">
        <v>1033980</v>
      </c>
      <c r="L9" s="357">
        <v>16152403</v>
      </c>
      <c r="M9" s="358">
        <v>80050</v>
      </c>
      <c r="N9" s="359">
        <v>93762</v>
      </c>
      <c r="O9" s="105"/>
      <c r="P9" s="105"/>
      <c r="Q9" s="105"/>
    </row>
    <row r="10" spans="1:17" ht="24" customHeight="1" x14ac:dyDescent="0.25">
      <c r="A10" s="97" t="s">
        <v>89</v>
      </c>
      <c r="B10" s="355">
        <v>144.66149999999999</v>
      </c>
      <c r="C10" s="349">
        <v>59859558</v>
      </c>
      <c r="D10" s="350">
        <f t="shared" si="0"/>
        <v>34482.543731400547</v>
      </c>
      <c r="E10" s="356">
        <v>39325881</v>
      </c>
      <c r="F10" s="357">
        <v>10225925</v>
      </c>
      <c r="G10" s="357">
        <v>1870875</v>
      </c>
      <c r="H10" s="357">
        <v>5187724</v>
      </c>
      <c r="I10" s="357">
        <v>1165416</v>
      </c>
      <c r="J10" s="357">
        <v>1777516</v>
      </c>
      <c r="K10" s="357">
        <v>39651</v>
      </c>
      <c r="L10" s="357">
        <v>265887</v>
      </c>
      <c r="M10" s="358">
        <v>273</v>
      </c>
      <c r="N10" s="359">
        <v>410</v>
      </c>
      <c r="O10" s="105"/>
      <c r="P10" s="105"/>
      <c r="Q10" s="105"/>
    </row>
    <row r="11" spans="1:17" ht="24" customHeight="1" x14ac:dyDescent="0.25">
      <c r="A11" s="97" t="s">
        <v>25</v>
      </c>
      <c r="B11" s="355">
        <v>243.13480000000001</v>
      </c>
      <c r="C11" s="349">
        <v>81043098</v>
      </c>
      <c r="D11" s="350">
        <f t="shared" si="0"/>
        <v>27777.148725727457</v>
      </c>
      <c r="E11" s="356">
        <v>60382397</v>
      </c>
      <c r="F11" s="357">
        <v>14520087</v>
      </c>
      <c r="G11" s="357">
        <v>761733</v>
      </c>
      <c r="H11" s="357">
        <v>3719252</v>
      </c>
      <c r="I11" s="357">
        <v>916415</v>
      </c>
      <c r="J11" s="357">
        <v>68686</v>
      </c>
      <c r="K11" s="357">
        <v>12541</v>
      </c>
      <c r="L11" s="357">
        <v>301296</v>
      </c>
      <c r="M11" s="358">
        <v>11498</v>
      </c>
      <c r="N11" s="359">
        <v>349193</v>
      </c>
      <c r="O11" s="105"/>
      <c r="P11" s="105"/>
      <c r="Q11" s="105"/>
    </row>
    <row r="12" spans="1:17" ht="24" customHeight="1" x14ac:dyDescent="0.25">
      <c r="A12" s="98" t="s">
        <v>26</v>
      </c>
      <c r="B12" s="360">
        <v>0</v>
      </c>
      <c r="C12" s="349">
        <v>0</v>
      </c>
      <c r="D12" s="350">
        <v>0</v>
      </c>
      <c r="E12" s="356">
        <v>0</v>
      </c>
      <c r="F12" s="357">
        <v>0</v>
      </c>
      <c r="G12" s="357">
        <v>0</v>
      </c>
      <c r="H12" s="357">
        <v>0</v>
      </c>
      <c r="I12" s="357">
        <v>0</v>
      </c>
      <c r="J12" s="357">
        <v>0</v>
      </c>
      <c r="K12" s="357">
        <v>0</v>
      </c>
      <c r="L12" s="357">
        <v>0</v>
      </c>
      <c r="M12" s="358">
        <v>0</v>
      </c>
      <c r="N12" s="359">
        <v>0</v>
      </c>
      <c r="O12" s="276"/>
      <c r="P12" s="105"/>
      <c r="Q12" s="105"/>
    </row>
    <row r="13" spans="1:17" ht="24" customHeight="1" thickBot="1" x14ac:dyDescent="0.3">
      <c r="A13" s="99" t="s">
        <v>51</v>
      </c>
      <c r="B13" s="361">
        <v>354.01220000000001</v>
      </c>
      <c r="C13" s="362">
        <v>140800921</v>
      </c>
      <c r="D13" s="363">
        <f t="shared" si="0"/>
        <v>33144.08397036411</v>
      </c>
      <c r="E13" s="364">
        <v>97714348</v>
      </c>
      <c r="F13" s="365">
        <v>25587199</v>
      </c>
      <c r="G13" s="365">
        <v>3743433</v>
      </c>
      <c r="H13" s="365">
        <v>7107308</v>
      </c>
      <c r="I13" s="365">
        <v>3712549</v>
      </c>
      <c r="J13" s="365">
        <v>28651</v>
      </c>
      <c r="K13" s="365">
        <v>9401</v>
      </c>
      <c r="L13" s="365">
        <v>2540129</v>
      </c>
      <c r="M13" s="366">
        <v>13317</v>
      </c>
      <c r="N13" s="367">
        <v>344586</v>
      </c>
      <c r="O13" s="105"/>
      <c r="P13" s="105"/>
      <c r="Q13" s="105"/>
    </row>
    <row r="14" spans="1:17" ht="24" customHeight="1" thickTop="1" thickBot="1" x14ac:dyDescent="0.35">
      <c r="A14" s="92" t="s">
        <v>52</v>
      </c>
      <c r="B14" s="340">
        <f>SUM(B8:B13)</f>
        <v>3350.5081</v>
      </c>
      <c r="C14" s="26">
        <f>SUM(C8:C13)</f>
        <v>1295422800</v>
      </c>
      <c r="D14" s="341">
        <f t="shared" si="0"/>
        <v>32219.560967484304</v>
      </c>
      <c r="E14" s="319">
        <f>SUM(E8:E13)</f>
        <v>910123018</v>
      </c>
      <c r="F14" s="320">
        <f t="shared" ref="F14:N14" si="1">SUM(F8:F13)</f>
        <v>229740914</v>
      </c>
      <c r="G14" s="320">
        <f t="shared" si="1"/>
        <v>27906750</v>
      </c>
      <c r="H14" s="320">
        <f t="shared" si="1"/>
        <v>68834833</v>
      </c>
      <c r="I14" s="320">
        <f t="shared" si="1"/>
        <v>26710368</v>
      </c>
      <c r="J14" s="320">
        <f t="shared" si="1"/>
        <v>9977969</v>
      </c>
      <c r="K14" s="320">
        <f t="shared" si="1"/>
        <v>1116335</v>
      </c>
      <c r="L14" s="320">
        <f t="shared" si="1"/>
        <v>19990571</v>
      </c>
      <c r="M14" s="320">
        <f t="shared" si="1"/>
        <v>198553</v>
      </c>
      <c r="N14" s="29">
        <f t="shared" si="1"/>
        <v>823489</v>
      </c>
      <c r="Q14" s="105"/>
    </row>
    <row r="15" spans="1:17" ht="14.45" x14ac:dyDescent="0.3">
      <c r="Q15" s="105"/>
    </row>
    <row r="16" spans="1:17" ht="14.45" x14ac:dyDescent="0.3">
      <c r="E16" s="83"/>
      <c r="F16" s="105"/>
      <c r="G16" s="105"/>
      <c r="H16" s="105"/>
      <c r="I16" s="105"/>
      <c r="J16" s="105"/>
      <c r="K16" s="105"/>
      <c r="L16" s="105"/>
      <c r="M16" s="105"/>
      <c r="N16" s="105"/>
    </row>
    <row r="17" spans="3:7" ht="14.45" x14ac:dyDescent="0.3">
      <c r="C17" s="83"/>
      <c r="G17" t="s">
        <v>1</v>
      </c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7559055118110237" right="0.39370078740157483" top="0.78740157480314965" bottom="0.78740157480314965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Karlovarský kraj Krajský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dagmar.rochova</dc:creator>
  <cp:lastModifiedBy>Jambor Stanislav</cp:lastModifiedBy>
  <cp:lastPrinted>2020-01-11T13:27:30Z</cp:lastPrinted>
  <dcterms:created xsi:type="dcterms:W3CDTF">2014-09-15T11:14:01Z</dcterms:created>
  <dcterms:modified xsi:type="dcterms:W3CDTF">2020-02-18T11:47:01Z</dcterms:modified>
</cp:coreProperties>
</file>